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defaultThemeVersion="166925"/>
  <xr:revisionPtr revIDLastSave="0" documentId="13_ncr:1_{C7EDF85E-A48B-4835-A17F-402244A15780}" xr6:coauthVersionLast="46" xr6:coauthVersionMax="46" xr10:uidLastSave="{00000000-0000-0000-0000-000000000000}"/>
  <bookViews>
    <workbookView xWindow="-120" yWindow="-120" windowWidth="38640" windowHeight="21240" xr2:uid="{1618A53B-D138-47EE-A476-AFC3B52B7450}"/>
  </bookViews>
  <sheets>
    <sheet name="2022" sheetId="1" r:id="rId1"/>
    <sheet name="2023" sheetId="6" r:id="rId2"/>
    <sheet name="Tariff" sheetId="5" r:id="rId3"/>
    <sheet name="APP 2885" sheetId="2" r:id="rId4"/>
    <sheet name="Res Measure Mapping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'2022'!$A$7:$AO$7</definedName>
    <definedName name="_xlnm._FilterDatabase" localSheetId="1" hidden="1">'2023'!$A$7:$AO$7</definedName>
    <definedName name="_xlnm._FilterDatabase" localSheetId="4" hidden="1">'Res Measure Mapping'!$B$3:$X$80</definedName>
    <definedName name="AC">'[1]APP 2885'!$B$10:$H$54</definedName>
    <definedName name="DiscountRate">[2]Constants!$A$5</definedName>
    <definedName name="Elect_Avoided_Cost">'[3]Load Profiles'!$G$2:$Z$74</definedName>
    <definedName name="Electric_Load_Profiles">'[3]Load Profiles'!$A$3:$D$20</definedName>
    <definedName name="Existing_Process">"Gas_Capacity_Factors"</definedName>
    <definedName name="Gas_Avoided_Cost">'[3]Load Profiles'!$AB$3:$AE$79</definedName>
    <definedName name="Gas_Cap_Factor">'[3]Load Profiles'!$X$4:$Y$25</definedName>
    <definedName name="Index_No.">"Gas_Avoided_Cost"</definedName>
    <definedName name="Inflation">'[4]Rates&amp;NEB'!$B$7</definedName>
    <definedName name="JR_PAGE_ANCHOR_0_1" localSheetId="1">'2023'!$E$1</definedName>
    <definedName name="JR_PAGE_ANCHOR_0_1">'2022'!$E$1</definedName>
    <definedName name="JR_PAGE_ANCHOR_0_2">'APP 2885'!$A$1</definedName>
    <definedName name="JR_PAGE_ANCHOR_0_3">#REF!</definedName>
    <definedName name="LTdiscount">'[4]Rates&amp;NEB'!$B$9</definedName>
    <definedName name="NEPercentage">'[4]Rates&amp;NEB'!$B$13</definedName>
    <definedName name="NomInt">'[4]Rates&amp;NEB'!$B$5</definedName>
    <definedName name="SSMeasures">[5]Sheet4!$A$5:$G$115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5" l="1"/>
  <c r="H25" i="5"/>
  <c r="Y92" i="6"/>
  <c r="AD92" i="6"/>
  <c r="AD92" i="1"/>
  <c r="AL8" i="6"/>
  <c r="R45" i="6" l="1"/>
  <c r="J92" i="6"/>
  <c r="S91" i="6"/>
  <c r="R91" i="6"/>
  <c r="AC91" i="6" s="1"/>
  <c r="H91" i="6"/>
  <c r="D91" i="6"/>
  <c r="R90" i="6"/>
  <c r="J90" i="6"/>
  <c r="H90" i="6"/>
  <c r="D90" i="6"/>
  <c r="AG90" i="6" s="1"/>
  <c r="R89" i="6"/>
  <c r="J89" i="6"/>
  <c r="H89" i="6"/>
  <c r="D89" i="6"/>
  <c r="AF89" i="6" s="1"/>
  <c r="R88" i="6"/>
  <c r="J88" i="6"/>
  <c r="H88" i="6"/>
  <c r="D88" i="6"/>
  <c r="T88" i="6" s="1"/>
  <c r="U88" i="6" s="1"/>
  <c r="R87" i="6"/>
  <c r="J87" i="6"/>
  <c r="H87" i="6"/>
  <c r="D87" i="6"/>
  <c r="AG87" i="6" s="1"/>
  <c r="R86" i="6"/>
  <c r="J86" i="6"/>
  <c r="H86" i="6"/>
  <c r="D86" i="6"/>
  <c r="R85" i="6"/>
  <c r="J85" i="6"/>
  <c r="H85" i="6"/>
  <c r="D85" i="6"/>
  <c r="AH84" i="6"/>
  <c r="R84" i="6"/>
  <c r="Q84" i="6"/>
  <c r="D84" i="6"/>
  <c r="T84" i="6" s="1"/>
  <c r="U84" i="6" s="1"/>
  <c r="AH83" i="6"/>
  <c r="R83" i="6"/>
  <c r="Q83" i="6"/>
  <c r="D83" i="6"/>
  <c r="Z83" i="6" s="1"/>
  <c r="AA83" i="6" s="1"/>
  <c r="AH82" i="6"/>
  <c r="R82" i="6"/>
  <c r="Q82" i="6"/>
  <c r="D82" i="6"/>
  <c r="AH81" i="6"/>
  <c r="R81" i="6"/>
  <c r="Q81" i="6"/>
  <c r="D81" i="6"/>
  <c r="T81" i="6" s="1"/>
  <c r="U81" i="6" s="1"/>
  <c r="R80" i="6"/>
  <c r="D80" i="6"/>
  <c r="AF80" i="6" s="1"/>
  <c r="R79" i="6"/>
  <c r="D79" i="6"/>
  <c r="P79" i="6" s="1"/>
  <c r="R78" i="6"/>
  <c r="D78" i="6"/>
  <c r="T78" i="6" s="1"/>
  <c r="U78" i="6" s="1"/>
  <c r="AH77" i="6"/>
  <c r="R77" i="6"/>
  <c r="K77" i="6"/>
  <c r="K80" i="6" s="1"/>
  <c r="D77" i="6"/>
  <c r="O77" i="6" s="1"/>
  <c r="Q77" i="6" s="1"/>
  <c r="AH76" i="6"/>
  <c r="R76" i="6"/>
  <c r="K76" i="6"/>
  <c r="K79" i="6" s="1"/>
  <c r="D76" i="6"/>
  <c r="T76" i="6" s="1"/>
  <c r="U76" i="6" s="1"/>
  <c r="AH75" i="6"/>
  <c r="R75" i="6"/>
  <c r="K75" i="6"/>
  <c r="K78" i="6" s="1"/>
  <c r="D75" i="6"/>
  <c r="AF75" i="6" s="1"/>
  <c r="AI74" i="6"/>
  <c r="AA74" i="6"/>
  <c r="U74" i="6"/>
  <c r="R74" i="6"/>
  <c r="H74" i="6"/>
  <c r="D74" i="6"/>
  <c r="AI73" i="6"/>
  <c r="AL73" i="6" s="1"/>
  <c r="AA73" i="6"/>
  <c r="U73" i="6"/>
  <c r="R73" i="6"/>
  <c r="H73" i="6"/>
  <c r="D73" i="6"/>
  <c r="AI72" i="6"/>
  <c r="AL72" i="6" s="1"/>
  <c r="AA72" i="6"/>
  <c r="U72" i="6"/>
  <c r="R72" i="6"/>
  <c r="H72" i="6"/>
  <c r="D72" i="6"/>
  <c r="U71" i="6"/>
  <c r="R71" i="6"/>
  <c r="Q71" i="6"/>
  <c r="Q91" i="6" s="1"/>
  <c r="H71" i="6"/>
  <c r="D71" i="6"/>
  <c r="T71" i="6" s="1"/>
  <c r="U70" i="6"/>
  <c r="H70" i="6"/>
  <c r="D70" i="6"/>
  <c r="AG70" i="6" s="1"/>
  <c r="U69" i="6"/>
  <c r="H69" i="6"/>
  <c r="D69" i="6"/>
  <c r="T69" i="6" s="1"/>
  <c r="U68" i="6"/>
  <c r="H68" i="6"/>
  <c r="D68" i="6"/>
  <c r="O68" i="6" s="1"/>
  <c r="Q68" i="6" s="1"/>
  <c r="R67" i="6"/>
  <c r="AD67" i="6" s="1"/>
  <c r="D67" i="6"/>
  <c r="AG67" i="6" s="1"/>
  <c r="R66" i="6"/>
  <c r="D66" i="6"/>
  <c r="AG66" i="6" s="1"/>
  <c r="R65" i="6"/>
  <c r="D65" i="6"/>
  <c r="AF65" i="6" s="1"/>
  <c r="AH65" i="6" s="1"/>
  <c r="R64" i="6"/>
  <c r="D64" i="6"/>
  <c r="O64" i="6" s="1"/>
  <c r="Q64" i="6" s="1"/>
  <c r="R63" i="6"/>
  <c r="D63" i="6"/>
  <c r="AF63" i="6" s="1"/>
  <c r="AH63" i="6" s="1"/>
  <c r="R62" i="6"/>
  <c r="D62" i="6"/>
  <c r="AG62" i="6" s="1"/>
  <c r="AH61" i="6"/>
  <c r="U61" i="6"/>
  <c r="R61" i="6"/>
  <c r="Q61" i="6"/>
  <c r="H61" i="6"/>
  <c r="D61" i="6"/>
  <c r="AG61" i="6" s="1"/>
  <c r="AH60" i="6"/>
  <c r="U60" i="6"/>
  <c r="R60" i="6"/>
  <c r="Q60" i="6"/>
  <c r="H60" i="6"/>
  <c r="D60" i="6"/>
  <c r="AF60" i="6" s="1"/>
  <c r="AH59" i="6"/>
  <c r="U59" i="6"/>
  <c r="R59" i="6"/>
  <c r="Q59" i="6"/>
  <c r="H59" i="6"/>
  <c r="D59" i="6"/>
  <c r="AH58" i="6"/>
  <c r="U58" i="6"/>
  <c r="R58" i="6"/>
  <c r="Q58" i="6"/>
  <c r="H58" i="6"/>
  <c r="D58" i="6"/>
  <c r="O58" i="6" s="1"/>
  <c r="U57" i="6"/>
  <c r="R57" i="6"/>
  <c r="O57" i="6"/>
  <c r="Q57" i="6" s="1"/>
  <c r="D57" i="6"/>
  <c r="T57" i="6" s="1"/>
  <c r="AF56" i="6"/>
  <c r="U56" i="6"/>
  <c r="T56" i="6"/>
  <c r="R56" i="6"/>
  <c r="O56" i="6"/>
  <c r="Q56" i="6" s="1"/>
  <c r="D56" i="6"/>
  <c r="U55" i="6"/>
  <c r="R55" i="6"/>
  <c r="O55" i="6"/>
  <c r="Q55" i="6" s="1"/>
  <c r="D55" i="6"/>
  <c r="T55" i="6" s="1"/>
  <c r="AF54" i="6"/>
  <c r="U54" i="6"/>
  <c r="T54" i="6"/>
  <c r="R54" i="6"/>
  <c r="O54" i="6"/>
  <c r="Q54" i="6" s="1"/>
  <c r="D54" i="6"/>
  <c r="AG54" i="6" s="1"/>
  <c r="U53" i="6"/>
  <c r="R53" i="6"/>
  <c r="O53" i="6"/>
  <c r="Q53" i="6" s="1"/>
  <c r="D53" i="6"/>
  <c r="T53" i="6" s="1"/>
  <c r="AF52" i="6"/>
  <c r="U52" i="6"/>
  <c r="T52" i="6"/>
  <c r="R52" i="6"/>
  <c r="O52" i="6"/>
  <c r="Q52" i="6" s="1"/>
  <c r="D52" i="6"/>
  <c r="AG52" i="6" s="1"/>
  <c r="AH51" i="6"/>
  <c r="U51" i="6"/>
  <c r="R51" i="6"/>
  <c r="Q51" i="6"/>
  <c r="H51" i="6"/>
  <c r="D51" i="6"/>
  <c r="AH50" i="6"/>
  <c r="U50" i="6"/>
  <c r="R50" i="6"/>
  <c r="Q50" i="6"/>
  <c r="H50" i="6"/>
  <c r="D50" i="6"/>
  <c r="AF50" i="6" s="1"/>
  <c r="AH49" i="6"/>
  <c r="U49" i="6"/>
  <c r="R49" i="6"/>
  <c r="Q49" i="6"/>
  <c r="H49" i="6"/>
  <c r="D49" i="6"/>
  <c r="AF49" i="6" s="1"/>
  <c r="R48" i="6"/>
  <c r="H48" i="6"/>
  <c r="D48" i="6"/>
  <c r="AF48" i="6" s="1"/>
  <c r="R47" i="6"/>
  <c r="H47" i="6"/>
  <c r="D47" i="6"/>
  <c r="AF47" i="6" s="1"/>
  <c r="U46" i="6"/>
  <c r="R46" i="6"/>
  <c r="H46" i="6"/>
  <c r="D46" i="6"/>
  <c r="P46" i="6" s="1"/>
  <c r="U45" i="6"/>
  <c r="H45" i="6"/>
  <c r="D45" i="6"/>
  <c r="AG45" i="6" s="1"/>
  <c r="U44" i="6"/>
  <c r="R44" i="6"/>
  <c r="H44" i="6"/>
  <c r="D44" i="6"/>
  <c r="AF44" i="6" s="1"/>
  <c r="U43" i="6"/>
  <c r="H43" i="6"/>
  <c r="D43" i="6"/>
  <c r="Z43" i="6" s="1"/>
  <c r="AA43" i="6" s="1"/>
  <c r="U42" i="6"/>
  <c r="H42" i="6"/>
  <c r="D42" i="6"/>
  <c r="O42" i="6" s="1"/>
  <c r="Q42" i="6" s="1"/>
  <c r="U41" i="6"/>
  <c r="H41" i="6"/>
  <c r="D41" i="6"/>
  <c r="O41" i="6" s="1"/>
  <c r="Q41" i="6" s="1"/>
  <c r="AH40" i="6"/>
  <c r="U40" i="6"/>
  <c r="R40" i="6"/>
  <c r="AD40" i="6" s="1"/>
  <c r="Q40" i="6"/>
  <c r="H40" i="6"/>
  <c r="D40" i="6"/>
  <c r="Z40" i="6" s="1"/>
  <c r="AA40" i="6" s="1"/>
  <c r="AH39" i="6"/>
  <c r="U39" i="6"/>
  <c r="R39" i="6"/>
  <c r="Q39" i="6"/>
  <c r="H39" i="6"/>
  <c r="D39" i="6"/>
  <c r="P39" i="6" s="1"/>
  <c r="AH38" i="6"/>
  <c r="U38" i="6"/>
  <c r="R38" i="6"/>
  <c r="Q38" i="6"/>
  <c r="H38" i="6"/>
  <c r="D38" i="6"/>
  <c r="O38" i="6" s="1"/>
  <c r="AH37" i="6"/>
  <c r="U37" i="6"/>
  <c r="R37" i="6"/>
  <c r="Q37" i="6"/>
  <c r="H37" i="6"/>
  <c r="D37" i="6"/>
  <c r="AG37" i="6" s="1"/>
  <c r="AH36" i="6"/>
  <c r="V36" i="6"/>
  <c r="U36" i="6"/>
  <c r="R36" i="6"/>
  <c r="Q36" i="6"/>
  <c r="H36" i="6"/>
  <c r="D36" i="6"/>
  <c r="AG36" i="6" s="1"/>
  <c r="AH35" i="6"/>
  <c r="U35" i="6"/>
  <c r="R35" i="6"/>
  <c r="Q35" i="6"/>
  <c r="H35" i="6"/>
  <c r="D35" i="6"/>
  <c r="AG35" i="6" s="1"/>
  <c r="AH34" i="6"/>
  <c r="U34" i="6"/>
  <c r="R34" i="6"/>
  <c r="H34" i="6"/>
  <c r="D34" i="6"/>
  <c r="O34" i="6" s="1"/>
  <c r="Q34" i="6" s="1"/>
  <c r="AH33" i="6"/>
  <c r="U33" i="6"/>
  <c r="R33" i="6"/>
  <c r="H33" i="6"/>
  <c r="D33" i="6"/>
  <c r="AG33" i="6" s="1"/>
  <c r="AH32" i="6"/>
  <c r="U32" i="6"/>
  <c r="R32" i="6"/>
  <c r="H32" i="6"/>
  <c r="D32" i="6"/>
  <c r="AF32" i="6" s="1"/>
  <c r="R31" i="6"/>
  <c r="K31" i="6"/>
  <c r="H31" i="6"/>
  <c r="D31" i="6"/>
  <c r="AG31" i="6" s="1"/>
  <c r="R30" i="6"/>
  <c r="K30" i="6"/>
  <c r="H30" i="6"/>
  <c r="D30" i="6"/>
  <c r="T30" i="6" s="1"/>
  <c r="U30" i="6" s="1"/>
  <c r="R29" i="6"/>
  <c r="K29" i="6"/>
  <c r="H29" i="6"/>
  <c r="D29" i="6"/>
  <c r="AG29" i="6" s="1"/>
  <c r="AH28" i="6"/>
  <c r="U28" i="6"/>
  <c r="R28" i="6"/>
  <c r="D28" i="6"/>
  <c r="P28" i="6" s="1"/>
  <c r="AH27" i="6"/>
  <c r="U27" i="6"/>
  <c r="R27" i="6"/>
  <c r="D27" i="6"/>
  <c r="O27" i="6" s="1"/>
  <c r="Q27" i="6" s="1"/>
  <c r="U26" i="6"/>
  <c r="R26" i="6"/>
  <c r="D26" i="6"/>
  <c r="O26" i="6" s="1"/>
  <c r="Q26" i="6" s="1"/>
  <c r="AH25" i="6"/>
  <c r="U25" i="6"/>
  <c r="R25" i="6"/>
  <c r="H25" i="6"/>
  <c r="D25" i="6"/>
  <c r="P25" i="6" s="1"/>
  <c r="U24" i="6"/>
  <c r="R24" i="6"/>
  <c r="H24" i="6"/>
  <c r="D24" i="6"/>
  <c r="AF24" i="6" s="1"/>
  <c r="U23" i="6"/>
  <c r="R23" i="6"/>
  <c r="H23" i="6"/>
  <c r="D23" i="6"/>
  <c r="P23" i="6" s="1"/>
  <c r="U22" i="6"/>
  <c r="R22" i="6"/>
  <c r="H22" i="6"/>
  <c r="D22" i="6"/>
  <c r="AF22" i="6" s="1"/>
  <c r="AH21" i="6"/>
  <c r="R21" i="6"/>
  <c r="H21" i="6"/>
  <c r="D21" i="6"/>
  <c r="T21" i="6" s="1"/>
  <c r="U21" i="6" s="1"/>
  <c r="AH20" i="6"/>
  <c r="R20" i="6"/>
  <c r="H20" i="6"/>
  <c r="D20" i="6"/>
  <c r="O20" i="6" s="1"/>
  <c r="Q20" i="6" s="1"/>
  <c r="AH19" i="6"/>
  <c r="R19" i="6"/>
  <c r="H19" i="6"/>
  <c r="D19" i="6"/>
  <c r="P19" i="6" s="1"/>
  <c r="AI18" i="6"/>
  <c r="AL18" i="6" s="1"/>
  <c r="R18" i="6"/>
  <c r="H18" i="6"/>
  <c r="D18" i="6"/>
  <c r="P18" i="6" s="1"/>
  <c r="AI17" i="6"/>
  <c r="AL17" i="6" s="1"/>
  <c r="R17" i="6"/>
  <c r="H17" i="6"/>
  <c r="D17" i="6"/>
  <c r="Z17" i="6" s="1"/>
  <c r="AA17" i="6" s="1"/>
  <c r="AI16" i="6"/>
  <c r="AO16" i="6" s="1"/>
  <c r="R16" i="6"/>
  <c r="H16" i="6"/>
  <c r="D16" i="6"/>
  <c r="T16" i="6" s="1"/>
  <c r="U16" i="6" s="1"/>
  <c r="R15" i="6"/>
  <c r="H15" i="6"/>
  <c r="D15" i="6"/>
  <c r="AF15" i="6" s="1"/>
  <c r="R14" i="6"/>
  <c r="H14" i="6"/>
  <c r="D14" i="6"/>
  <c r="Z14" i="6" s="1"/>
  <c r="AA14" i="6" s="1"/>
  <c r="AH13" i="6"/>
  <c r="U13" i="6"/>
  <c r="R13" i="6"/>
  <c r="Q13" i="6"/>
  <c r="H13" i="6"/>
  <c r="D13" i="6"/>
  <c r="T13" i="6" s="1"/>
  <c r="AH12" i="6"/>
  <c r="U12" i="6"/>
  <c r="R12" i="6"/>
  <c r="Q12" i="6"/>
  <c r="H12" i="6"/>
  <c r="D12" i="6"/>
  <c r="P12" i="6" s="1"/>
  <c r="AH11" i="6"/>
  <c r="U11" i="6"/>
  <c r="R11" i="6"/>
  <c r="Q11" i="6"/>
  <c r="H11" i="6"/>
  <c r="D11" i="6"/>
  <c r="AG11" i="6" s="1"/>
  <c r="AH10" i="6"/>
  <c r="U10" i="6"/>
  <c r="R10" i="6"/>
  <c r="Q10" i="6"/>
  <c r="H10" i="6"/>
  <c r="D10" i="6"/>
  <c r="Z10" i="6" s="1"/>
  <c r="AA10" i="6" s="1"/>
  <c r="AH9" i="6"/>
  <c r="U9" i="6"/>
  <c r="R9" i="6"/>
  <c r="Q9" i="6"/>
  <c r="H9" i="6"/>
  <c r="D9" i="6"/>
  <c r="T9" i="6" s="1"/>
  <c r="AH8" i="6"/>
  <c r="U8" i="6"/>
  <c r="R8" i="6"/>
  <c r="Q8" i="6"/>
  <c r="H8" i="6"/>
  <c r="D8" i="6"/>
  <c r="P8" i="6" s="1"/>
  <c r="AI16" i="1"/>
  <c r="AI17" i="1"/>
  <c r="AI18" i="1"/>
  <c r="AI72" i="1"/>
  <c r="AI73" i="1"/>
  <c r="AI74" i="1"/>
  <c r="AH8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AD64" i="6" l="1"/>
  <c r="AF43" i="6"/>
  <c r="AD90" i="6"/>
  <c r="AD13" i="6"/>
  <c r="AD84" i="6"/>
  <c r="Z34" i="6"/>
  <c r="AA34" i="6" s="1"/>
  <c r="L59" i="6"/>
  <c r="AG19" i="6"/>
  <c r="AG17" i="6"/>
  <c r="AD11" i="6"/>
  <c r="AD24" i="6"/>
  <c r="AD30" i="6"/>
  <c r="AD39" i="6"/>
  <c r="AD23" i="6"/>
  <c r="AD50" i="6"/>
  <c r="AD62" i="6"/>
  <c r="AD65" i="6"/>
  <c r="AD27" i="6"/>
  <c r="AD32" i="6"/>
  <c r="AD74" i="6"/>
  <c r="AD81" i="6"/>
  <c r="AD15" i="6"/>
  <c r="O65" i="6"/>
  <c r="Q65" i="6" s="1"/>
  <c r="AD38" i="6"/>
  <c r="AD26" i="6"/>
  <c r="AD36" i="6"/>
  <c r="AD37" i="6"/>
  <c r="AD54" i="6"/>
  <c r="AD55" i="6"/>
  <c r="AD77" i="6"/>
  <c r="AD12" i="6"/>
  <c r="AD51" i="6"/>
  <c r="AD56" i="6"/>
  <c r="AD79" i="6"/>
  <c r="AD44" i="6"/>
  <c r="AD19" i="6"/>
  <c r="AD22" i="6"/>
  <c r="AD34" i="6"/>
  <c r="AD35" i="6"/>
  <c r="AD49" i="6"/>
  <c r="O61" i="6"/>
  <c r="AD66" i="6"/>
  <c r="AD58" i="6"/>
  <c r="AD75" i="6"/>
  <c r="AD47" i="6"/>
  <c r="AD9" i="6"/>
  <c r="AD8" i="6"/>
  <c r="AD17" i="6"/>
  <c r="AD18" i="6"/>
  <c r="AD28" i="6"/>
  <c r="AD31" i="6"/>
  <c r="AD63" i="6"/>
  <c r="AD82" i="6"/>
  <c r="AD16" i="6"/>
  <c r="AD25" i="6"/>
  <c r="AD48" i="6"/>
  <c r="AD60" i="6"/>
  <c r="AD61" i="6"/>
  <c r="P38" i="6"/>
  <c r="AG32" i="6"/>
  <c r="T28" i="6"/>
  <c r="T25" i="6"/>
  <c r="T60" i="6"/>
  <c r="AG24" i="6"/>
  <c r="L10" i="6"/>
  <c r="P32" i="6"/>
  <c r="V73" i="6"/>
  <c r="AD45" i="6"/>
  <c r="Z8" i="6"/>
  <c r="AA8" i="6" s="1"/>
  <c r="AC8" i="6" s="1"/>
  <c r="AO17" i="6"/>
  <c r="AF23" i="6"/>
  <c r="AG28" i="6"/>
  <c r="T29" i="6"/>
  <c r="U29" i="6" s="1"/>
  <c r="AG53" i="6"/>
  <c r="L71" i="6"/>
  <c r="AI71" i="6" s="1"/>
  <c r="O17" i="6"/>
  <c r="P36" i="6"/>
  <c r="AG75" i="6"/>
  <c r="O25" i="6"/>
  <c r="Q25" i="6" s="1"/>
  <c r="Z49" i="6"/>
  <c r="AA49" i="6" s="1"/>
  <c r="AB49" i="6" s="1"/>
  <c r="AI82" i="6"/>
  <c r="O10" i="6"/>
  <c r="P10" i="6"/>
  <c r="T17" i="6"/>
  <c r="U17" i="6" s="1"/>
  <c r="W17" i="6" s="1"/>
  <c r="T66" i="6"/>
  <c r="U66" i="6" s="1"/>
  <c r="AF17" i="6"/>
  <c r="L20" i="6"/>
  <c r="Z36" i="6"/>
  <c r="AA36" i="6" s="1"/>
  <c r="AC36" i="6" s="1"/>
  <c r="AF40" i="6"/>
  <c r="P13" i="6"/>
  <c r="AO18" i="6"/>
  <c r="AF34" i="6"/>
  <c r="AG40" i="6"/>
  <c r="P42" i="6"/>
  <c r="AG63" i="6"/>
  <c r="AO72" i="6"/>
  <c r="AG78" i="6"/>
  <c r="P84" i="6"/>
  <c r="AG22" i="6"/>
  <c r="O22" i="6"/>
  <c r="Q22" i="6" s="1"/>
  <c r="AG34" i="6"/>
  <c r="AG60" i="6"/>
  <c r="T65" i="6"/>
  <c r="U65" i="6" s="1"/>
  <c r="O83" i="6"/>
  <c r="P90" i="6"/>
  <c r="P22" i="6"/>
  <c r="AG27" i="6"/>
  <c r="O31" i="6"/>
  <c r="Q31" i="6" s="1"/>
  <c r="O32" i="6"/>
  <c r="Q32" i="6" s="1"/>
  <c r="P34" i="6"/>
  <c r="P44" i="6"/>
  <c r="P64" i="6"/>
  <c r="Z65" i="6"/>
  <c r="AA65" i="6" s="1"/>
  <c r="V65" i="6" s="1"/>
  <c r="AF67" i="6"/>
  <c r="AH67" i="6" s="1"/>
  <c r="O69" i="6"/>
  <c r="Q69" i="6" s="1"/>
  <c r="AL16" i="6"/>
  <c r="AF31" i="6"/>
  <c r="AH31" i="6" s="1"/>
  <c r="O23" i="6"/>
  <c r="Q23" i="6" s="1"/>
  <c r="L23" i="6" s="1"/>
  <c r="P31" i="6"/>
  <c r="O60" i="6"/>
  <c r="AD72" i="6"/>
  <c r="O75" i="6"/>
  <c r="Q75" i="6" s="1"/>
  <c r="AD76" i="6"/>
  <c r="O79" i="6"/>
  <c r="Q79" i="6" s="1"/>
  <c r="Z89" i="6"/>
  <c r="AA89" i="6" s="1"/>
  <c r="AG13" i="6"/>
  <c r="AF10" i="6"/>
  <c r="AF39" i="6"/>
  <c r="L53" i="6"/>
  <c r="AI53" i="6" s="1"/>
  <c r="T64" i="6"/>
  <c r="U64" i="6" s="1"/>
  <c r="Z69" i="6"/>
  <c r="AA69" i="6" s="1"/>
  <c r="V69" i="6" s="1"/>
  <c r="P75" i="6"/>
  <c r="Z76" i="6"/>
  <c r="AA76" i="6" s="1"/>
  <c r="AF77" i="6"/>
  <c r="AG89" i="6"/>
  <c r="AF13" i="6"/>
  <c r="T22" i="6"/>
  <c r="T24" i="6"/>
  <c r="T33" i="6"/>
  <c r="O36" i="6"/>
  <c r="AF64" i="6"/>
  <c r="AH64" i="6" s="1"/>
  <c r="AF69" i="6"/>
  <c r="Z79" i="6"/>
  <c r="AA79" i="6" s="1"/>
  <c r="AC79" i="6" s="1"/>
  <c r="AG83" i="6"/>
  <c r="T31" i="6"/>
  <c r="U31" i="6" s="1"/>
  <c r="V83" i="6"/>
  <c r="Z12" i="6"/>
  <c r="AA12" i="6" s="1"/>
  <c r="AG18" i="6"/>
  <c r="AG88" i="6"/>
  <c r="O9" i="6"/>
  <c r="AF9" i="6"/>
  <c r="P20" i="6"/>
  <c r="AG20" i="6"/>
  <c r="Z21" i="6"/>
  <c r="AA21" i="6" s="1"/>
  <c r="Z33" i="6"/>
  <c r="AA33" i="6" s="1"/>
  <c r="Z35" i="6"/>
  <c r="AA35" i="6" s="1"/>
  <c r="O37" i="6"/>
  <c r="AF37" i="6"/>
  <c r="AG39" i="6"/>
  <c r="O43" i="6"/>
  <c r="Q43" i="6" s="1"/>
  <c r="V43" i="6" s="1"/>
  <c r="AG43" i="6"/>
  <c r="O46" i="6"/>
  <c r="Q46" i="6" s="1"/>
  <c r="L46" i="6" s="1"/>
  <c r="T49" i="6"/>
  <c r="O50" i="6"/>
  <c r="AG65" i="6"/>
  <c r="AF66" i="6"/>
  <c r="AH66" i="6" s="1"/>
  <c r="Z67" i="6"/>
  <c r="AA67" i="6" s="1"/>
  <c r="AG69" i="6"/>
  <c r="AF70" i="6"/>
  <c r="P77" i="6"/>
  <c r="AG77" i="6"/>
  <c r="P83" i="6"/>
  <c r="P9" i="6"/>
  <c r="AG9" i="6"/>
  <c r="AI10" i="6"/>
  <c r="AO10" i="6" s="1"/>
  <c r="AF12" i="6"/>
  <c r="O18" i="6"/>
  <c r="O35" i="6"/>
  <c r="P37" i="6"/>
  <c r="O39" i="6"/>
  <c r="P41" i="6"/>
  <c r="P43" i="6"/>
  <c r="T44" i="6"/>
  <c r="O45" i="6"/>
  <c r="Q45" i="6" s="1"/>
  <c r="P47" i="6"/>
  <c r="O48" i="6"/>
  <c r="Q48" i="6" s="1"/>
  <c r="P50" i="6"/>
  <c r="AF71" i="6"/>
  <c r="T80" i="6"/>
  <c r="U80" i="6" s="1"/>
  <c r="P87" i="6"/>
  <c r="O15" i="6"/>
  <c r="Q15" i="6" s="1"/>
  <c r="AG15" i="6"/>
  <c r="P35" i="6"/>
  <c r="AF35" i="6"/>
  <c r="T43" i="6"/>
  <c r="P48" i="6"/>
  <c r="P88" i="6"/>
  <c r="Z9" i="6"/>
  <c r="AA9" i="6" s="1"/>
  <c r="AC9" i="6" s="1"/>
  <c r="O12" i="6"/>
  <c r="P45" i="6"/>
  <c r="AG50" i="6"/>
  <c r="AG8" i="6"/>
  <c r="P15" i="6"/>
  <c r="O24" i="6"/>
  <c r="Q24" i="6" s="1"/>
  <c r="Z26" i="6"/>
  <c r="AA26" i="6" s="1"/>
  <c r="AC26" i="6" s="1"/>
  <c r="AF36" i="6"/>
  <c r="AG38" i="6"/>
  <c r="Z44" i="6"/>
  <c r="AA44" i="6" s="1"/>
  <c r="V44" i="6" s="1"/>
  <c r="T46" i="6"/>
  <c r="O49" i="6"/>
  <c r="P60" i="6"/>
  <c r="P63" i="6"/>
  <c r="P65" i="6"/>
  <c r="O66" i="6"/>
  <c r="Q66" i="6" s="1"/>
  <c r="O67" i="6"/>
  <c r="Q67" i="6" s="1"/>
  <c r="P69" i="6"/>
  <c r="AF76" i="6"/>
  <c r="P78" i="6"/>
  <c r="AG80" i="6"/>
  <c r="T15" i="6"/>
  <c r="U15" i="6" s="1"/>
  <c r="AG12" i="6"/>
  <c r="AG21" i="6"/>
  <c r="Z13" i="6"/>
  <c r="AA13" i="6" s="1"/>
  <c r="AB13" i="6" s="1"/>
  <c r="AM13" i="6" s="1"/>
  <c r="T18" i="6"/>
  <c r="U18" i="6" s="1"/>
  <c r="W18" i="6" s="1"/>
  <c r="T20" i="6"/>
  <c r="U20" i="6" s="1"/>
  <c r="O21" i="6"/>
  <c r="Q21" i="6" s="1"/>
  <c r="L21" i="6" s="1"/>
  <c r="AI21" i="6" s="1"/>
  <c r="P24" i="6"/>
  <c r="AG25" i="6"/>
  <c r="T32" i="6"/>
  <c r="Z41" i="6"/>
  <c r="AA41" i="6" s="1"/>
  <c r="AG44" i="6"/>
  <c r="T47" i="6"/>
  <c r="U47" i="6" s="1"/>
  <c r="P49" i="6"/>
  <c r="AG49" i="6"/>
  <c r="W59" i="6"/>
  <c r="P66" i="6"/>
  <c r="P67" i="6"/>
  <c r="O70" i="6"/>
  <c r="Q70" i="6" s="1"/>
  <c r="P71" i="6"/>
  <c r="AO73" i="6"/>
  <c r="T75" i="6"/>
  <c r="U75" i="6" s="1"/>
  <c r="O76" i="6"/>
  <c r="Q76" i="6" s="1"/>
  <c r="V76" i="6" s="1"/>
  <c r="Z77" i="6"/>
  <c r="AA77" i="6" s="1"/>
  <c r="AC77" i="6" s="1"/>
  <c r="O80" i="6"/>
  <c r="Q80" i="6" s="1"/>
  <c r="T83" i="6"/>
  <c r="U83" i="6" s="1"/>
  <c r="Z87" i="6"/>
  <c r="AA87" i="6" s="1"/>
  <c r="O89" i="6"/>
  <c r="Q89" i="6" s="1"/>
  <c r="Z18" i="6"/>
  <c r="AA18" i="6" s="1"/>
  <c r="AB18" i="6" s="1"/>
  <c r="AM18" i="6" s="1"/>
  <c r="Z20" i="6"/>
  <c r="AA20" i="6" s="1"/>
  <c r="V20" i="6" s="1"/>
  <c r="P21" i="6"/>
  <c r="AF41" i="6"/>
  <c r="O44" i="6"/>
  <c r="Q44" i="6" s="1"/>
  <c r="AF46" i="6"/>
  <c r="T50" i="6"/>
  <c r="AD53" i="6"/>
  <c r="P70" i="6"/>
  <c r="P80" i="6"/>
  <c r="AF87" i="6"/>
  <c r="P89" i="6"/>
  <c r="AB21" i="6"/>
  <c r="Z37" i="6"/>
  <c r="AA37" i="6" s="1"/>
  <c r="Z39" i="6"/>
  <c r="AA39" i="6" s="1"/>
  <c r="AG41" i="6"/>
  <c r="Z63" i="6"/>
  <c r="AA63" i="6" s="1"/>
  <c r="AC63" i="6" s="1"/>
  <c r="T70" i="6"/>
  <c r="AC76" i="6"/>
  <c r="AD59" i="6"/>
  <c r="L61" i="6"/>
  <c r="L34" i="6"/>
  <c r="W34" i="6" s="1"/>
  <c r="L11" i="6"/>
  <c r="W11" i="6" s="1"/>
  <c r="L12" i="6"/>
  <c r="AI12" i="6" s="1"/>
  <c r="L51" i="6"/>
  <c r="AI51" i="6" s="1"/>
  <c r="L58" i="6"/>
  <c r="AI58" i="6" s="1"/>
  <c r="AI59" i="6"/>
  <c r="AD10" i="6"/>
  <c r="L38" i="6"/>
  <c r="W38" i="6" s="1"/>
  <c r="L9" i="6"/>
  <c r="W9" i="6" s="1"/>
  <c r="L64" i="6"/>
  <c r="L15" i="6"/>
  <c r="AI15" i="6" s="1"/>
  <c r="L36" i="6"/>
  <c r="AD46" i="6"/>
  <c r="AD71" i="6"/>
  <c r="L40" i="6"/>
  <c r="AI40" i="6" s="1"/>
  <c r="AC74" i="6"/>
  <c r="AJ74" i="6" s="1"/>
  <c r="AB91" i="6"/>
  <c r="L39" i="6"/>
  <c r="W39" i="6" s="1"/>
  <c r="L26" i="6"/>
  <c r="AI26" i="6" s="1"/>
  <c r="AL26" i="6" s="1"/>
  <c r="L54" i="6"/>
  <c r="AI54" i="6" s="1"/>
  <c r="AL10" i="6"/>
  <c r="AB17" i="6"/>
  <c r="AM17" i="6" s="1"/>
  <c r="AC17" i="6"/>
  <c r="AJ17" i="6" s="1"/>
  <c r="V17" i="6"/>
  <c r="W10" i="6"/>
  <c r="W16" i="6"/>
  <c r="AB10" i="6"/>
  <c r="AM10" i="6" s="1"/>
  <c r="AC10" i="6"/>
  <c r="V10" i="6"/>
  <c r="AC12" i="6"/>
  <c r="V12" i="6"/>
  <c r="AB12" i="6"/>
  <c r="AM12" i="6" s="1"/>
  <c r="AC33" i="6"/>
  <c r="AB33" i="6"/>
  <c r="V26" i="6"/>
  <c r="AC14" i="6"/>
  <c r="AB14" i="6"/>
  <c r="AC34" i="6"/>
  <c r="V34" i="6"/>
  <c r="AB34" i="6"/>
  <c r="L8" i="6"/>
  <c r="W8" i="6" s="1"/>
  <c r="O11" i="6"/>
  <c r="O14" i="6"/>
  <c r="Q14" i="6" s="1"/>
  <c r="L14" i="6" s="1"/>
  <c r="AI14" i="6" s="1"/>
  <c r="AD14" i="6"/>
  <c r="AC21" i="6"/>
  <c r="L25" i="6"/>
  <c r="AI25" i="6" s="1"/>
  <c r="P27" i="6"/>
  <c r="T8" i="6"/>
  <c r="O8" i="6"/>
  <c r="P11" i="6"/>
  <c r="L13" i="6"/>
  <c r="W13" i="6" s="1"/>
  <c r="P14" i="6"/>
  <c r="P17" i="6"/>
  <c r="AG23" i="6"/>
  <c r="T23" i="6"/>
  <c r="T26" i="6"/>
  <c r="Z28" i="6"/>
  <c r="AA28" i="6" s="1"/>
  <c r="AF33" i="6"/>
  <c r="P33" i="6"/>
  <c r="O33" i="6"/>
  <c r="Q33" i="6" s="1"/>
  <c r="V33" i="6" s="1"/>
  <c r="L37" i="6"/>
  <c r="AI37" i="6" s="1"/>
  <c r="T11" i="6"/>
  <c r="AF8" i="6"/>
  <c r="AF11" i="6"/>
  <c r="T12" i="6"/>
  <c r="O13" i="6"/>
  <c r="AF14" i="6"/>
  <c r="T19" i="6"/>
  <c r="U19" i="6" s="1"/>
  <c r="AD20" i="6"/>
  <c r="AD21" i="6"/>
  <c r="AF26" i="6"/>
  <c r="O28" i="6"/>
  <c r="Q28" i="6" s="1"/>
  <c r="P30" i="6"/>
  <c r="AG30" i="6"/>
  <c r="Z30" i="6"/>
  <c r="AA30" i="6" s="1"/>
  <c r="AF30" i="6"/>
  <c r="AH30" i="6" s="1"/>
  <c r="O30" i="6"/>
  <c r="Q30" i="6" s="1"/>
  <c r="L30" i="6" s="1"/>
  <c r="W30" i="6" s="1"/>
  <c r="V41" i="6"/>
  <c r="AB44" i="6"/>
  <c r="Z11" i="6"/>
  <c r="AA11" i="6" s="1"/>
  <c r="AG26" i="6"/>
  <c r="T27" i="6"/>
  <c r="AD29" i="6"/>
  <c r="AD33" i="6"/>
  <c r="AG14" i="6"/>
  <c r="T14" i="6"/>
  <c r="U14" i="6" s="1"/>
  <c r="AF16" i="6"/>
  <c r="Z16" i="6"/>
  <c r="AA16" i="6" s="1"/>
  <c r="AF27" i="6"/>
  <c r="O16" i="6"/>
  <c r="AG16" i="6"/>
  <c r="AF18" i="6"/>
  <c r="O19" i="6"/>
  <c r="Q19" i="6" s="1"/>
  <c r="L19" i="6" s="1"/>
  <c r="AI19" i="6" s="1"/>
  <c r="Z23" i="6"/>
  <c r="AA23" i="6" s="1"/>
  <c r="P26" i="6"/>
  <c r="L27" i="6"/>
  <c r="AI27" i="6" s="1"/>
  <c r="AF28" i="6"/>
  <c r="V39" i="6"/>
  <c r="AC39" i="6"/>
  <c r="AB39" i="6"/>
  <c r="AM39" i="6" s="1"/>
  <c r="AG10" i="6"/>
  <c r="T10" i="6"/>
  <c r="P16" i="6"/>
  <c r="Z19" i="6"/>
  <c r="AA19" i="6" s="1"/>
  <c r="Z27" i="6"/>
  <c r="AA27" i="6" s="1"/>
  <c r="AF29" i="6"/>
  <c r="AH29" i="6" s="1"/>
  <c r="Z29" i="6"/>
  <c r="AA29" i="6" s="1"/>
  <c r="P29" i="6"/>
  <c r="O29" i="6"/>
  <c r="Q29" i="6" s="1"/>
  <c r="Z31" i="6"/>
  <c r="AA31" i="6" s="1"/>
  <c r="T34" i="6"/>
  <c r="V37" i="6"/>
  <c r="AG42" i="6"/>
  <c r="AF57" i="6"/>
  <c r="Z57" i="6"/>
  <c r="AA57" i="6" s="1"/>
  <c r="P57" i="6"/>
  <c r="AG57" i="6"/>
  <c r="Z15" i="6"/>
  <c r="AA15" i="6" s="1"/>
  <c r="Z24" i="6"/>
  <c r="AA24" i="6" s="1"/>
  <c r="AF38" i="6"/>
  <c r="Z38" i="6"/>
  <c r="AA38" i="6" s="1"/>
  <c r="AC40" i="6"/>
  <c r="T41" i="6"/>
  <c r="AG48" i="6"/>
  <c r="Z48" i="6"/>
  <c r="AA48" i="6" s="1"/>
  <c r="T48" i="6"/>
  <c r="U48" i="6" s="1"/>
  <c r="Z54" i="6"/>
  <c r="AA54" i="6" s="1"/>
  <c r="P54" i="6"/>
  <c r="Z25" i="6"/>
  <c r="AA25" i="6" s="1"/>
  <c r="AF25" i="6"/>
  <c r="P40" i="6"/>
  <c r="O40" i="6"/>
  <c r="V40" i="6"/>
  <c r="Z42" i="6"/>
  <c r="AA42" i="6" s="1"/>
  <c r="L56" i="6"/>
  <c r="AI56" i="6" s="1"/>
  <c r="P51" i="6"/>
  <c r="T51" i="6"/>
  <c r="AG51" i="6"/>
  <c r="Z51" i="6"/>
  <c r="AA51" i="6" s="1"/>
  <c r="O51" i="6"/>
  <c r="L57" i="6"/>
  <c r="AI57" i="6" s="1"/>
  <c r="AD57" i="6"/>
  <c r="L55" i="6"/>
  <c r="AI55" i="6" s="1"/>
  <c r="T42" i="6"/>
  <c r="AF51" i="6"/>
  <c r="Z22" i="6"/>
  <c r="AA22" i="6" s="1"/>
  <c r="L35" i="6"/>
  <c r="W35" i="6" s="1"/>
  <c r="AB40" i="6"/>
  <c r="AM40" i="6" s="1"/>
  <c r="AF42" i="6"/>
  <c r="L52" i="6"/>
  <c r="AD52" i="6"/>
  <c r="W53" i="6"/>
  <c r="P59" i="6"/>
  <c r="AG59" i="6"/>
  <c r="T59" i="6"/>
  <c r="Z59" i="6"/>
  <c r="AA59" i="6" s="1"/>
  <c r="O59" i="6"/>
  <c r="AF59" i="6"/>
  <c r="AF45" i="6"/>
  <c r="Z45" i="6"/>
  <c r="AA45" i="6" s="1"/>
  <c r="T45" i="6"/>
  <c r="O47" i="6"/>
  <c r="Q47" i="6" s="1"/>
  <c r="L47" i="6" s="1"/>
  <c r="AI47" i="6" s="1"/>
  <c r="AG47" i="6"/>
  <c r="Z47" i="6"/>
  <c r="AA47" i="6" s="1"/>
  <c r="L50" i="6"/>
  <c r="AI50" i="6" s="1"/>
  <c r="W61" i="6"/>
  <c r="Z32" i="6"/>
  <c r="AA32" i="6" s="1"/>
  <c r="AF55" i="6"/>
  <c r="Z55" i="6"/>
  <c r="AA55" i="6" s="1"/>
  <c r="P55" i="6"/>
  <c r="AG55" i="6"/>
  <c r="AF62" i="6"/>
  <c r="AH62" i="6" s="1"/>
  <c r="Z62" i="6"/>
  <c r="AA62" i="6" s="1"/>
  <c r="P62" i="6"/>
  <c r="O62" i="6"/>
  <c r="Q62" i="6" s="1"/>
  <c r="T62" i="6"/>
  <c r="U62" i="6" s="1"/>
  <c r="W73" i="6"/>
  <c r="X73" i="6" s="1"/>
  <c r="AO74" i="6"/>
  <c r="L49" i="6"/>
  <c r="T58" i="6"/>
  <c r="AL74" i="6"/>
  <c r="AF58" i="6"/>
  <c r="L60" i="6"/>
  <c r="W60" i="6" s="1"/>
  <c r="AI61" i="6"/>
  <c r="L65" i="6"/>
  <c r="W74" i="6"/>
  <c r="L75" i="6"/>
  <c r="Z56" i="6"/>
  <c r="AA56" i="6" s="1"/>
  <c r="P56" i="6"/>
  <c r="AG58" i="6"/>
  <c r="W72" i="6"/>
  <c r="Z46" i="6"/>
  <c r="AA46" i="6" s="1"/>
  <c r="AG46" i="6"/>
  <c r="Z52" i="6"/>
  <c r="AA52" i="6" s="1"/>
  <c r="P52" i="6"/>
  <c r="AF53" i="6"/>
  <c r="Z53" i="6"/>
  <c r="AA53" i="6" s="1"/>
  <c r="P53" i="6"/>
  <c r="AG56" i="6"/>
  <c r="P58" i="6"/>
  <c r="Z58" i="6"/>
  <c r="AA58" i="6" s="1"/>
  <c r="AD73" i="6"/>
  <c r="AB73" i="6"/>
  <c r="AM73" i="6" s="1"/>
  <c r="AC73" i="6"/>
  <c r="AJ73" i="6" s="1"/>
  <c r="T63" i="6"/>
  <c r="U63" i="6" s="1"/>
  <c r="O71" i="6"/>
  <c r="AG71" i="6"/>
  <c r="W81" i="6"/>
  <c r="AI84" i="6"/>
  <c r="AB89" i="6"/>
  <c r="V89" i="6"/>
  <c r="AC89" i="6"/>
  <c r="Z85" i="6"/>
  <c r="AA85" i="6" s="1"/>
  <c r="P85" i="6"/>
  <c r="AF85" i="6"/>
  <c r="T85" i="6"/>
  <c r="U85" i="6" s="1"/>
  <c r="AG85" i="6"/>
  <c r="O85" i="6"/>
  <c r="Q85" i="6" s="1"/>
  <c r="L85" i="6" s="1"/>
  <c r="AI85" i="6" s="1"/>
  <c r="AB87" i="6"/>
  <c r="AC87" i="6"/>
  <c r="P61" i="6"/>
  <c r="AG68" i="6"/>
  <c r="Z68" i="6"/>
  <c r="AA68" i="6" s="1"/>
  <c r="P68" i="6"/>
  <c r="T68" i="6"/>
  <c r="Z71" i="6"/>
  <c r="AA71" i="6" s="1"/>
  <c r="V72" i="6"/>
  <c r="Z50" i="6"/>
  <c r="AA50" i="6" s="1"/>
  <c r="Z60" i="6"/>
  <c r="AA60" i="6" s="1"/>
  <c r="O63" i="6"/>
  <c r="Q63" i="6" s="1"/>
  <c r="L63" i="6" s="1"/>
  <c r="AI63" i="6" s="1"/>
  <c r="Z64" i="6"/>
  <c r="AA64" i="6" s="1"/>
  <c r="AG64" i="6"/>
  <c r="Z66" i="6"/>
  <c r="AA66" i="6" s="1"/>
  <c r="L67" i="6"/>
  <c r="AI67" i="6" s="1"/>
  <c r="AB72" i="6"/>
  <c r="AM72" i="6" s="1"/>
  <c r="Z61" i="6"/>
  <c r="AA61" i="6" s="1"/>
  <c r="AF61" i="6"/>
  <c r="AF68" i="6"/>
  <c r="AC72" i="6"/>
  <c r="AJ72" i="6" s="1"/>
  <c r="V74" i="6"/>
  <c r="AB74" i="6"/>
  <c r="AM74" i="6" s="1"/>
  <c r="AB79" i="6"/>
  <c r="T61" i="6"/>
  <c r="W84" i="6"/>
  <c r="AI81" i="6"/>
  <c r="O82" i="6"/>
  <c r="AG82" i="6"/>
  <c r="Z82" i="6"/>
  <c r="AA82" i="6" s="1"/>
  <c r="T82" i="6"/>
  <c r="U82" i="6" s="1"/>
  <c r="P82" i="6"/>
  <c r="AD87" i="6"/>
  <c r="AD86" i="6"/>
  <c r="AD89" i="6"/>
  <c r="L89" i="6"/>
  <c r="AI89" i="6" s="1"/>
  <c r="T67" i="6"/>
  <c r="U67" i="6" s="1"/>
  <c r="Z70" i="6"/>
  <c r="AA70" i="6" s="1"/>
  <c r="P76" i="6"/>
  <c r="AG76" i="6"/>
  <c r="AG79" i="6"/>
  <c r="T79" i="6"/>
  <c r="U79" i="6" s="1"/>
  <c r="AF79" i="6"/>
  <c r="AD80" i="6"/>
  <c r="AI83" i="6"/>
  <c r="AF78" i="6"/>
  <c r="O78" i="6"/>
  <c r="Q78" i="6" s="1"/>
  <c r="Z78" i="6"/>
  <c r="AA78" i="6" s="1"/>
  <c r="AD85" i="6"/>
  <c r="Z81" i="6"/>
  <c r="AA81" i="6" s="1"/>
  <c r="AG81" i="6"/>
  <c r="O81" i="6"/>
  <c r="O86" i="6"/>
  <c r="Q86" i="6" s="1"/>
  <c r="AF86" i="6"/>
  <c r="Z86" i="6"/>
  <c r="AA86" i="6" s="1"/>
  <c r="AG86" i="6"/>
  <c r="P86" i="6"/>
  <c r="T86" i="6"/>
  <c r="U86" i="6" s="1"/>
  <c r="L77" i="6"/>
  <c r="AI77" i="6" s="1"/>
  <c r="P81" i="6"/>
  <c r="L78" i="6"/>
  <c r="AI78" i="6" s="1"/>
  <c r="AD78" i="6"/>
  <c r="AB83" i="6"/>
  <c r="AM83" i="6" s="1"/>
  <c r="AC83" i="6"/>
  <c r="AD88" i="6"/>
  <c r="AD83" i="6"/>
  <c r="T87" i="6"/>
  <c r="U87" i="6" s="1"/>
  <c r="AF88" i="6"/>
  <c r="Z88" i="6"/>
  <c r="AA88" i="6" s="1"/>
  <c r="O88" i="6"/>
  <c r="Q88" i="6" s="1"/>
  <c r="AD91" i="6"/>
  <c r="T89" i="6"/>
  <c r="U89" i="6" s="1"/>
  <c r="O90" i="6"/>
  <c r="Q90" i="6" s="1"/>
  <c r="AF90" i="6"/>
  <c r="Z90" i="6"/>
  <c r="AA90" i="6" s="1"/>
  <c r="T77" i="6"/>
  <c r="U77" i="6" s="1"/>
  <c r="AG84" i="6"/>
  <c r="Z84" i="6"/>
  <c r="AA84" i="6" s="1"/>
  <c r="O84" i="6"/>
  <c r="T90" i="6"/>
  <c r="U90" i="6" s="1"/>
  <c r="W83" i="6"/>
  <c r="X83" i="6" s="1"/>
  <c r="O87" i="6"/>
  <c r="Q87" i="6" s="1"/>
  <c r="L91" i="6"/>
  <c r="Z75" i="6"/>
  <c r="AA75" i="6" s="1"/>
  <c r="Z80" i="6"/>
  <c r="AA80" i="6" s="1"/>
  <c r="V21" i="6" l="1"/>
  <c r="AC44" i="6"/>
  <c r="V18" i="6"/>
  <c r="X18" i="6" s="1"/>
  <c r="AN18" i="6" s="1"/>
  <c r="AC18" i="6"/>
  <c r="AJ18" i="6" s="1"/>
  <c r="X17" i="6"/>
  <c r="AN17" i="6" s="1"/>
  <c r="W75" i="6"/>
  <c r="V13" i="6"/>
  <c r="L22" i="6"/>
  <c r="AI22" i="6" s="1"/>
  <c r="L31" i="6"/>
  <c r="L48" i="6"/>
  <c r="AI48" i="6" s="1"/>
  <c r="AB65" i="6"/>
  <c r="L66" i="6"/>
  <c r="AI66" i="6" s="1"/>
  <c r="W58" i="6"/>
  <c r="AC65" i="6"/>
  <c r="V8" i="6"/>
  <c r="AB8" i="6"/>
  <c r="AB67" i="6"/>
  <c r="AC20" i="6"/>
  <c r="AK10" i="6"/>
  <c r="AB20" i="6"/>
  <c r="V67" i="6"/>
  <c r="AC67" i="6"/>
  <c r="AK67" i="6" s="1"/>
  <c r="L76" i="6"/>
  <c r="AI76" i="6" s="1"/>
  <c r="AL76" i="6" s="1"/>
  <c r="L79" i="6"/>
  <c r="AI79" i="6" s="1"/>
  <c r="AB36" i="6"/>
  <c r="AM36" i="6" s="1"/>
  <c r="W20" i="6"/>
  <c r="X20" i="6" s="1"/>
  <c r="AC37" i="6"/>
  <c r="AJ37" i="6" s="1"/>
  <c r="W71" i="6"/>
  <c r="L44" i="6"/>
  <c r="AI44" i="6" s="1"/>
  <c r="AL44" i="6" s="1"/>
  <c r="AB26" i="6"/>
  <c r="L32" i="6"/>
  <c r="W32" i="6" s="1"/>
  <c r="L33" i="6"/>
  <c r="AI33" i="6" s="1"/>
  <c r="AK33" i="6" s="1"/>
  <c r="AK18" i="6"/>
  <c r="W26" i="6"/>
  <c r="X26" i="6" s="1"/>
  <c r="AJ26" i="6"/>
  <c r="W64" i="6"/>
  <c r="V49" i="6"/>
  <c r="AI20" i="6"/>
  <c r="W65" i="6"/>
  <c r="X65" i="6" s="1"/>
  <c r="AC49" i="6"/>
  <c r="V9" i="6"/>
  <c r="X9" i="6" s="1"/>
  <c r="AK12" i="6"/>
  <c r="AB76" i="6"/>
  <c r="V79" i="6"/>
  <c r="W31" i="6"/>
  <c r="L80" i="6"/>
  <c r="AI80" i="6" s="1"/>
  <c r="X74" i="6"/>
  <c r="AN74" i="6" s="1"/>
  <c r="L45" i="6"/>
  <c r="AI45" i="6" s="1"/>
  <c r="AI46" i="6"/>
  <c r="W46" i="6"/>
  <c r="AC35" i="6"/>
  <c r="AJ12" i="6"/>
  <c r="AB37" i="6"/>
  <c r="AM37" i="6" s="1"/>
  <c r="L24" i="6"/>
  <c r="AI24" i="6" s="1"/>
  <c r="AJ21" i="6"/>
  <c r="AL54" i="6"/>
  <c r="X34" i="6"/>
  <c r="AM34" i="6" s="1"/>
  <c r="AB77" i="6"/>
  <c r="X13" i="6"/>
  <c r="AN13" i="6" s="1"/>
  <c r="AB35" i="6"/>
  <c r="AM35" i="6" s="1"/>
  <c r="AO12" i="6"/>
  <c r="V77" i="6"/>
  <c r="V35" i="6"/>
  <c r="W21" i="6"/>
  <c r="X39" i="6"/>
  <c r="AL15" i="6"/>
  <c r="X72" i="6"/>
  <c r="AN72" i="6" s="1"/>
  <c r="AB63" i="6"/>
  <c r="AC13" i="6"/>
  <c r="AB9" i="6"/>
  <c r="AM9" i="6" s="1"/>
  <c r="L90" i="6"/>
  <c r="AI90" i="6" s="1"/>
  <c r="AI64" i="6"/>
  <c r="AL64" i="6" s="1"/>
  <c r="W51" i="6"/>
  <c r="AK26" i="6"/>
  <c r="AI34" i="6"/>
  <c r="AJ34" i="6" s="1"/>
  <c r="AL12" i="6"/>
  <c r="W40" i="6"/>
  <c r="X40" i="6" s="1"/>
  <c r="AK21" i="6"/>
  <c r="AK79" i="6"/>
  <c r="AI31" i="6"/>
  <c r="AL31" i="6" s="1"/>
  <c r="AI32" i="6"/>
  <c r="AL32" i="6" s="1"/>
  <c r="W12" i="6"/>
  <c r="X12" i="6" s="1"/>
  <c r="AN12" i="6" s="1"/>
  <c r="W76" i="6"/>
  <c r="X76" i="6" s="1"/>
  <c r="W50" i="6"/>
  <c r="W55" i="6"/>
  <c r="AI9" i="6"/>
  <c r="AK9" i="6" s="1"/>
  <c r="AI75" i="6"/>
  <c r="AL75" i="6" s="1"/>
  <c r="AI65" i="6"/>
  <c r="AK65" i="6" s="1"/>
  <c r="AK77" i="6"/>
  <c r="W57" i="6"/>
  <c r="W56" i="6"/>
  <c r="AK74" i="6"/>
  <c r="AI38" i="6"/>
  <c r="W25" i="6"/>
  <c r="AK17" i="6"/>
  <c r="W27" i="6"/>
  <c r="AI11" i="6"/>
  <c r="AO11" i="6" s="1"/>
  <c r="W15" i="6"/>
  <c r="AI36" i="6"/>
  <c r="W36" i="6"/>
  <c r="X36" i="6" s="1"/>
  <c r="AN36" i="6" s="1"/>
  <c r="AI60" i="6"/>
  <c r="AL60" i="6" s="1"/>
  <c r="AI13" i="6"/>
  <c r="AK63" i="6"/>
  <c r="W54" i="6"/>
  <c r="W44" i="6"/>
  <c r="X44" i="6" s="1"/>
  <c r="AO44" i="6" s="1"/>
  <c r="AI39" i="6"/>
  <c r="AJ39" i="6" s="1"/>
  <c r="AL14" i="6"/>
  <c r="AJ14" i="6"/>
  <c r="W82" i="6"/>
  <c r="W47" i="6"/>
  <c r="AB23" i="6"/>
  <c r="V23" i="6"/>
  <c r="AC23" i="6"/>
  <c r="AL40" i="6"/>
  <c r="AJ40" i="6"/>
  <c r="AO40" i="6"/>
  <c r="AC30" i="6"/>
  <c r="AB30" i="6"/>
  <c r="V30" i="6"/>
  <c r="AL25" i="6"/>
  <c r="AM8" i="6"/>
  <c r="AL78" i="6"/>
  <c r="AL67" i="6"/>
  <c r="AJ65" i="6"/>
  <c r="AK72" i="6"/>
  <c r="AC59" i="6"/>
  <c r="AB59" i="6"/>
  <c r="V59" i="6"/>
  <c r="X59" i="6" s="1"/>
  <c r="AK40" i="6"/>
  <c r="AC57" i="6"/>
  <c r="AK57" i="6" s="1"/>
  <c r="AB57" i="6"/>
  <c r="V57" i="6"/>
  <c r="AB16" i="6"/>
  <c r="AM16" i="6" s="1"/>
  <c r="V16" i="6"/>
  <c r="X16" i="6" s="1"/>
  <c r="AC16" i="6"/>
  <c r="L29" i="6"/>
  <c r="W29" i="6" s="1"/>
  <c r="AO37" i="6"/>
  <c r="AL37" i="6"/>
  <c r="AC86" i="6"/>
  <c r="V86" i="6"/>
  <c r="AB86" i="6"/>
  <c r="AC50" i="6"/>
  <c r="AK50" i="6" s="1"/>
  <c r="V50" i="6"/>
  <c r="AB50" i="6"/>
  <c r="W77" i="6"/>
  <c r="AJ83" i="6"/>
  <c r="AK89" i="6"/>
  <c r="W78" i="6"/>
  <c r="AC56" i="6"/>
  <c r="AK56" i="6" s="1"/>
  <c r="V56" i="6"/>
  <c r="AB56" i="6"/>
  <c r="AB45" i="6"/>
  <c r="AC45" i="6"/>
  <c r="V45" i="6"/>
  <c r="AL55" i="6"/>
  <c r="AB31" i="6"/>
  <c r="AC31" i="6"/>
  <c r="AK31" i="6" s="1"/>
  <c r="V31" i="6"/>
  <c r="W37" i="6"/>
  <c r="X37" i="6" s="1"/>
  <c r="V28" i="6"/>
  <c r="AC28" i="6"/>
  <c r="AB28" i="6"/>
  <c r="AK14" i="6"/>
  <c r="V14" i="6"/>
  <c r="AB71" i="6"/>
  <c r="AC71" i="6"/>
  <c r="V71" i="6"/>
  <c r="AC88" i="6"/>
  <c r="V88" i="6"/>
  <c r="AB88" i="6"/>
  <c r="L88" i="6"/>
  <c r="AL89" i="6"/>
  <c r="AJ89" i="6"/>
  <c r="AC90" i="6"/>
  <c r="V90" i="6"/>
  <c r="AB90" i="6"/>
  <c r="AB66" i="6"/>
  <c r="AC66" i="6"/>
  <c r="V66" i="6"/>
  <c r="V68" i="6"/>
  <c r="AC58" i="6"/>
  <c r="AK58" i="6" s="1"/>
  <c r="V58" i="6"/>
  <c r="AB58" i="6"/>
  <c r="AC52" i="6"/>
  <c r="AB52" i="6"/>
  <c r="V52" i="6"/>
  <c r="AL61" i="6"/>
  <c r="W49" i="6"/>
  <c r="AI49" i="6"/>
  <c r="AC62" i="6"/>
  <c r="AB62" i="6"/>
  <c r="V62" i="6"/>
  <c r="AI52" i="6"/>
  <c r="W52" i="6"/>
  <c r="V54" i="6"/>
  <c r="AB54" i="6"/>
  <c r="AC54" i="6"/>
  <c r="AL19" i="6"/>
  <c r="W14" i="6"/>
  <c r="L28" i="6"/>
  <c r="AI8" i="6"/>
  <c r="AC84" i="6"/>
  <c r="AK84" i="6" s="1"/>
  <c r="AB84" i="6"/>
  <c r="AM84" i="6" s="1"/>
  <c r="V84" i="6"/>
  <c r="AL85" i="6"/>
  <c r="AC53" i="6"/>
  <c r="AB53" i="6"/>
  <c r="V53" i="6"/>
  <c r="AN83" i="6"/>
  <c r="AK83" i="6"/>
  <c r="AJ77" i="6"/>
  <c r="AL77" i="6"/>
  <c r="V61" i="6"/>
  <c r="X61" i="6" s="1"/>
  <c r="AO61" i="6" s="1"/>
  <c r="AB61" i="6"/>
  <c r="AC61" i="6"/>
  <c r="AJ61" i="6" s="1"/>
  <c r="AL71" i="6"/>
  <c r="W85" i="6"/>
  <c r="L62" i="6"/>
  <c r="W62" i="6" s="1"/>
  <c r="AL48" i="6"/>
  <c r="AL51" i="6"/>
  <c r="AB22" i="6"/>
  <c r="V22" i="6"/>
  <c r="AC22" i="6"/>
  <c r="AB51" i="6"/>
  <c r="AC51" i="6"/>
  <c r="AJ51" i="6" s="1"/>
  <c r="V51" i="6"/>
  <c r="X51" i="6" s="1"/>
  <c r="AL56" i="6"/>
  <c r="V42" i="6"/>
  <c r="AC24" i="6"/>
  <c r="AJ24" i="6" s="1"/>
  <c r="AB24" i="6"/>
  <c r="V24" i="6"/>
  <c r="V19" i="6"/>
  <c r="AC19" i="6"/>
  <c r="AK19" i="6" s="1"/>
  <c r="AB19" i="6"/>
  <c r="W19" i="6"/>
  <c r="W67" i="6"/>
  <c r="AL47" i="6"/>
  <c r="AC80" i="6"/>
  <c r="AB80" i="6"/>
  <c r="V80" i="6"/>
  <c r="AB78" i="6"/>
  <c r="AC78" i="6"/>
  <c r="AJ78" i="6" s="1"/>
  <c r="V78" i="6"/>
  <c r="L86" i="6"/>
  <c r="AI86" i="6" s="1"/>
  <c r="L87" i="6"/>
  <c r="AI87" i="6" s="1"/>
  <c r="AK87" i="6" s="1"/>
  <c r="AK73" i="6"/>
  <c r="AC46" i="6"/>
  <c r="V46" i="6"/>
  <c r="AB46" i="6"/>
  <c r="AL59" i="6"/>
  <c r="AI35" i="6"/>
  <c r="AC25" i="6"/>
  <c r="AJ25" i="6" s="1"/>
  <c r="AB25" i="6"/>
  <c r="V25" i="6"/>
  <c r="AB15" i="6"/>
  <c r="V15" i="6"/>
  <c r="AC15" i="6"/>
  <c r="AC29" i="6"/>
  <c r="V29" i="6"/>
  <c r="AB29" i="6"/>
  <c r="S92" i="6"/>
  <c r="W22" i="6"/>
  <c r="AL21" i="6"/>
  <c r="AI23" i="6"/>
  <c r="W23" i="6"/>
  <c r="AJ10" i="6"/>
  <c r="AL90" i="6"/>
  <c r="V60" i="6"/>
  <c r="AB60" i="6"/>
  <c r="AC60" i="6"/>
  <c r="AC82" i="6"/>
  <c r="V82" i="6"/>
  <c r="AB82" i="6"/>
  <c r="AM82" i="6" s="1"/>
  <c r="AC75" i="6"/>
  <c r="AB75" i="6"/>
  <c r="V75" i="6"/>
  <c r="X75" i="6" s="1"/>
  <c r="W89" i="6"/>
  <c r="X89" i="6" s="1"/>
  <c r="AL79" i="6"/>
  <c r="AJ79" i="6"/>
  <c r="AC64" i="6"/>
  <c r="AB64" i="6"/>
  <c r="V64" i="6"/>
  <c r="V87" i="6"/>
  <c r="V63" i="6"/>
  <c r="AC32" i="6"/>
  <c r="V32" i="6"/>
  <c r="AB32" i="6"/>
  <c r="AC47" i="6"/>
  <c r="AK47" i="6" s="1"/>
  <c r="V47" i="6"/>
  <c r="AB47" i="6"/>
  <c r="AL58" i="6"/>
  <c r="AL57" i="6"/>
  <c r="AL27" i="6"/>
  <c r="AL33" i="6"/>
  <c r="AJ33" i="6"/>
  <c r="V11" i="6"/>
  <c r="X11" i="6" s="1"/>
  <c r="AB11" i="6"/>
  <c r="AM11" i="6" s="1"/>
  <c r="AC11" i="6"/>
  <c r="AL46" i="6"/>
  <c r="AL24" i="6"/>
  <c r="X21" i="6"/>
  <c r="X10" i="6"/>
  <c r="AI91" i="6"/>
  <c r="AK91" i="6" s="1"/>
  <c r="W91" i="6"/>
  <c r="AB81" i="6"/>
  <c r="AM81" i="6" s="1"/>
  <c r="V81" i="6"/>
  <c r="AC81" i="6"/>
  <c r="AK81" i="6" s="1"/>
  <c r="AL80" i="6"/>
  <c r="V70" i="6"/>
  <c r="AL63" i="6"/>
  <c r="AJ63" i="6"/>
  <c r="AB85" i="6"/>
  <c r="V85" i="6"/>
  <c r="AC85" i="6"/>
  <c r="AK85" i="6" s="1"/>
  <c r="W63" i="6"/>
  <c r="AN73" i="6"/>
  <c r="V55" i="6"/>
  <c r="AC55" i="6"/>
  <c r="AJ55" i="6" s="1"/>
  <c r="AB55" i="6"/>
  <c r="AL53" i="6"/>
  <c r="AL50" i="6"/>
  <c r="V48" i="6"/>
  <c r="AB48" i="6"/>
  <c r="AC48" i="6"/>
  <c r="V38" i="6"/>
  <c r="AC38" i="6"/>
  <c r="AB38" i="6"/>
  <c r="AM38" i="6" s="1"/>
  <c r="AC27" i="6"/>
  <c r="AJ27" i="6" s="1"/>
  <c r="V27" i="6"/>
  <c r="AB27" i="6"/>
  <c r="AI30" i="6"/>
  <c r="AK37" i="6"/>
  <c r="X8" i="6"/>
  <c r="M41" i="1"/>
  <c r="M42" i="1"/>
  <c r="M43" i="1"/>
  <c r="M44" i="1"/>
  <c r="R44" i="1" s="1"/>
  <c r="M45" i="1"/>
  <c r="R45" i="1" s="1"/>
  <c r="M46" i="1"/>
  <c r="R46" i="1" s="1"/>
  <c r="M69" i="1"/>
  <c r="M70" i="1"/>
  <c r="M68" i="1"/>
  <c r="W48" i="6" l="1"/>
  <c r="X48" i="6" s="1"/>
  <c r="AO48" i="6" s="1"/>
  <c r="AJ48" i="6"/>
  <c r="W79" i="6"/>
  <c r="W90" i="6"/>
  <c r="X67" i="6"/>
  <c r="AN67" i="6" s="1"/>
  <c r="AO34" i="6"/>
  <c r="AM20" i="6"/>
  <c r="AN20" i="6"/>
  <c r="AK20" i="6"/>
  <c r="W66" i="6"/>
  <c r="X23" i="6"/>
  <c r="X90" i="6"/>
  <c r="AM90" i="6" s="1"/>
  <c r="AK44" i="6"/>
  <c r="AM65" i="6"/>
  <c r="AJ32" i="6"/>
  <c r="W80" i="6"/>
  <c r="X80" i="6" s="1"/>
  <c r="AK76" i="6"/>
  <c r="AJ76" i="6"/>
  <c r="AJ67" i="6"/>
  <c r="AK61" i="6"/>
  <c r="X14" i="6"/>
  <c r="AM14" i="6" s="1"/>
  <c r="AL11" i="6"/>
  <c r="X64" i="6"/>
  <c r="AO64" i="6" s="1"/>
  <c r="W24" i="6"/>
  <c r="X24" i="6" s="1"/>
  <c r="AN24" i="6" s="1"/>
  <c r="W33" i="6"/>
  <c r="X33" i="6" s="1"/>
  <c r="AM33" i="6" s="1"/>
  <c r="X15" i="6"/>
  <c r="X77" i="6"/>
  <c r="AM77" i="6" s="1"/>
  <c r="X46" i="6"/>
  <c r="AN46" i="6" s="1"/>
  <c r="AJ57" i="6"/>
  <c r="AJ75" i="6"/>
  <c r="X57" i="6"/>
  <c r="AN57" i="6" s="1"/>
  <c r="AJ20" i="6"/>
  <c r="AJ58" i="6"/>
  <c r="AJ44" i="6"/>
  <c r="AL20" i="6"/>
  <c r="AM44" i="6"/>
  <c r="AO9" i="6"/>
  <c r="AN34" i="6"/>
  <c r="AL9" i="6"/>
  <c r="AK64" i="6"/>
  <c r="AJ9" i="6"/>
  <c r="AJ50" i="6"/>
  <c r="AJ11" i="6"/>
  <c r="AO20" i="6"/>
  <c r="AN9" i="6"/>
  <c r="AO26" i="6"/>
  <c r="AM26" i="6"/>
  <c r="AN26" i="6"/>
  <c r="W45" i="6"/>
  <c r="X45" i="6" s="1"/>
  <c r="AN45" i="6" s="1"/>
  <c r="AO77" i="6"/>
  <c r="X84" i="6"/>
  <c r="X49" i="6"/>
  <c r="AM49" i="6" s="1"/>
  <c r="AK80" i="6"/>
  <c r="AK34" i="6"/>
  <c r="AJ90" i="6"/>
  <c r="AL34" i="6"/>
  <c r="X60" i="6"/>
  <c r="AO60" i="6" s="1"/>
  <c r="X78" i="6"/>
  <c r="AO78" i="6" s="1"/>
  <c r="X35" i="6"/>
  <c r="AN35" i="6" s="1"/>
  <c r="AN39" i="6"/>
  <c r="AJ60" i="6"/>
  <c r="X79" i="6"/>
  <c r="AM79" i="6" s="1"/>
  <c r="AL65" i="6"/>
  <c r="AK13" i="6"/>
  <c r="X53" i="6"/>
  <c r="AM53" i="6" s="1"/>
  <c r="AN76" i="6"/>
  <c r="X81" i="6"/>
  <c r="X62" i="6"/>
  <c r="AN62" i="6" s="1"/>
  <c r="X29" i="6"/>
  <c r="X32" i="6"/>
  <c r="AJ80" i="6"/>
  <c r="X54" i="6"/>
  <c r="AO54" i="6" s="1"/>
  <c r="AO76" i="6"/>
  <c r="AJ56" i="6"/>
  <c r="AK90" i="6"/>
  <c r="X66" i="6"/>
  <c r="AM76" i="6"/>
  <c r="X22" i="6"/>
  <c r="X52" i="6"/>
  <c r="X47" i="6"/>
  <c r="AI29" i="6"/>
  <c r="AJ29" i="6" s="1"/>
  <c r="AK24" i="6"/>
  <c r="AJ64" i="6"/>
  <c r="W87" i="6"/>
  <c r="X87" i="6" s="1"/>
  <c r="AL13" i="6"/>
  <c r="AO90" i="6"/>
  <c r="AK60" i="6"/>
  <c r="AJ31" i="6"/>
  <c r="X56" i="6"/>
  <c r="AN56" i="6" s="1"/>
  <c r="AO13" i="6"/>
  <c r="AJ13" i="6"/>
  <c r="AJ81" i="6"/>
  <c r="AL38" i="6"/>
  <c r="AO38" i="6"/>
  <c r="AK52" i="6"/>
  <c r="AO59" i="6"/>
  <c r="AM59" i="6"/>
  <c r="AK75" i="6"/>
  <c r="AL39" i="6"/>
  <c r="AO39" i="6"/>
  <c r="AK39" i="6"/>
  <c r="AK78" i="6"/>
  <c r="AK36" i="6"/>
  <c r="AJ36" i="6"/>
  <c r="AL36" i="6"/>
  <c r="AO36" i="6"/>
  <c r="AK51" i="6"/>
  <c r="AM15" i="6"/>
  <c r="AM61" i="6"/>
  <c r="AN44" i="6"/>
  <c r="AN51" i="6"/>
  <c r="AO51" i="6"/>
  <c r="AN75" i="6"/>
  <c r="AO75" i="6"/>
  <c r="AN16" i="6"/>
  <c r="AN21" i="6"/>
  <c r="AO21" i="6"/>
  <c r="AM21" i="6"/>
  <c r="AN89" i="6"/>
  <c r="AK15" i="6"/>
  <c r="AJ15" i="6"/>
  <c r="AL86" i="6"/>
  <c r="AJ86" i="6"/>
  <c r="X19" i="6"/>
  <c r="W28" i="6"/>
  <c r="X28" i="6" s="1"/>
  <c r="AI28" i="6"/>
  <c r="AO89" i="6"/>
  <c r="AK25" i="6"/>
  <c r="X50" i="6"/>
  <c r="AM50" i="6" s="1"/>
  <c r="AJ59" i="6"/>
  <c r="AK59" i="6"/>
  <c r="X58" i="6"/>
  <c r="AO58" i="6" s="1"/>
  <c r="AM23" i="6"/>
  <c r="AL87" i="6"/>
  <c r="AJ87" i="6"/>
  <c r="AN14" i="6"/>
  <c r="AN37" i="6"/>
  <c r="AK11" i="6"/>
  <c r="X38" i="6"/>
  <c r="AK32" i="6"/>
  <c r="X63" i="6"/>
  <c r="AM75" i="6"/>
  <c r="AN15" i="6"/>
  <c r="AI62" i="6"/>
  <c r="AJ85" i="6"/>
  <c r="AJ8" i="6"/>
  <c r="AO8" i="6"/>
  <c r="AK8" i="6"/>
  <c r="AL52" i="6"/>
  <c r="AJ52" i="6"/>
  <c r="AN77" i="6"/>
  <c r="AJ16" i="6"/>
  <c r="AK16" i="6"/>
  <c r="X30" i="6"/>
  <c r="AM89" i="6"/>
  <c r="AK54" i="6"/>
  <c r="AJ54" i="6"/>
  <c r="AI88" i="6"/>
  <c r="W88" i="6"/>
  <c r="X88" i="6" s="1"/>
  <c r="AN61" i="6"/>
  <c r="AK38" i="6"/>
  <c r="AJ38" i="6"/>
  <c r="AJ46" i="6"/>
  <c r="AK46" i="6"/>
  <c r="AJ22" i="6"/>
  <c r="AL22" i="6"/>
  <c r="AK22" i="6"/>
  <c r="AJ84" i="6"/>
  <c r="AN11" i="6"/>
  <c r="W86" i="6"/>
  <c r="X86" i="6" s="1"/>
  <c r="AO86" i="6" s="1"/>
  <c r="X25" i="6"/>
  <c r="AM25" i="6" s="1"/>
  <c r="AM67" i="6"/>
  <c r="AM78" i="6"/>
  <c r="AJ47" i="6"/>
  <c r="AK48" i="6"/>
  <c r="X85" i="6"/>
  <c r="AM85" i="6" s="1"/>
  <c r="AJ19" i="6"/>
  <c r="AK55" i="6"/>
  <c r="X82" i="6"/>
  <c r="AK27" i="6"/>
  <c r="AL91" i="6"/>
  <c r="AJ91" i="6"/>
  <c r="AN23" i="6"/>
  <c r="AJ35" i="6"/>
  <c r="AL35" i="6"/>
  <c r="AO35" i="6"/>
  <c r="AK35" i="6"/>
  <c r="X31" i="6"/>
  <c r="AM31" i="6" s="1"/>
  <c r="V91" i="6"/>
  <c r="V92" i="6" s="1"/>
  <c r="X71" i="6"/>
  <c r="AM71" i="6" s="1"/>
  <c r="AJ45" i="6"/>
  <c r="AL45" i="6"/>
  <c r="AK45" i="6"/>
  <c r="AO15" i="6"/>
  <c r="AN8" i="6"/>
  <c r="AN40" i="6"/>
  <c r="AN10" i="6"/>
  <c r="AJ66" i="6"/>
  <c r="AL66" i="6"/>
  <c r="AK66" i="6"/>
  <c r="AL30" i="6"/>
  <c r="AJ30" i="6"/>
  <c r="AK30" i="6"/>
  <c r="AN65" i="6"/>
  <c r="AK86" i="6"/>
  <c r="AK82" i="6"/>
  <c r="AJ82" i="6"/>
  <c r="AL23" i="6"/>
  <c r="AK23" i="6"/>
  <c r="AJ23" i="6"/>
  <c r="AO23" i="6"/>
  <c r="AO46" i="6"/>
  <c r="AM46" i="6"/>
  <c r="AN79" i="6"/>
  <c r="AK53" i="6"/>
  <c r="AJ53" i="6"/>
  <c r="AJ49" i="6"/>
  <c r="AO49" i="6"/>
  <c r="AL49" i="6"/>
  <c r="AK49" i="6"/>
  <c r="AJ71" i="6"/>
  <c r="AK71" i="6"/>
  <c r="AN59" i="6"/>
  <c r="AO65" i="6"/>
  <c r="X27" i="6"/>
  <c r="AM27" i="6" s="1"/>
  <c r="AO14" i="6"/>
  <c r="AN90" i="6"/>
  <c r="AM51" i="6"/>
  <c r="X55" i="6"/>
  <c r="R41" i="1"/>
  <c r="R42" i="1"/>
  <c r="R70" i="1"/>
  <c r="R43" i="1"/>
  <c r="R68" i="1"/>
  <c r="R69" i="1"/>
  <c r="AN81" i="6" l="1"/>
  <c r="AN84" i="6"/>
  <c r="AM60" i="6"/>
  <c r="AO67" i="6"/>
  <c r="AN60" i="6"/>
  <c r="AN64" i="6"/>
  <c r="AM62" i="6"/>
  <c r="AM64" i="6"/>
  <c r="AO80" i="6"/>
  <c r="AM80" i="6"/>
  <c r="AN80" i="6"/>
  <c r="AO53" i="6"/>
  <c r="AM57" i="6"/>
  <c r="AO33" i="6"/>
  <c r="AO57" i="6"/>
  <c r="AN33" i="6"/>
  <c r="AM45" i="6"/>
  <c r="AM56" i="6"/>
  <c r="AM24" i="6"/>
  <c r="AO56" i="6"/>
  <c r="AM54" i="6"/>
  <c r="AK29" i="6"/>
  <c r="AM52" i="6"/>
  <c r="AN52" i="6"/>
  <c r="AO22" i="6"/>
  <c r="AO52" i="6"/>
  <c r="AN49" i="6"/>
  <c r="AO32" i="6"/>
  <c r="AN48" i="6"/>
  <c r="AM48" i="6"/>
  <c r="AO47" i="6"/>
  <c r="AN78" i="6"/>
  <c r="AO79" i="6"/>
  <c r="AN54" i="6"/>
  <c r="AO45" i="6"/>
  <c r="AM47" i="6"/>
  <c r="AN53" i="6"/>
  <c r="AM32" i="6"/>
  <c r="AN47" i="6"/>
  <c r="AM22" i="6"/>
  <c r="AN22" i="6"/>
  <c r="AN66" i="6"/>
  <c r="AL29" i="6"/>
  <c r="AO24" i="6"/>
  <c r="AM66" i="6"/>
  <c r="AN32" i="6"/>
  <c r="AM29" i="6"/>
  <c r="AO66" i="6"/>
  <c r="X91" i="6"/>
  <c r="AO91" i="6" s="1"/>
  <c r="AO29" i="6"/>
  <c r="AN29" i="6"/>
  <c r="AM88" i="6"/>
  <c r="AN87" i="6"/>
  <c r="AO87" i="6"/>
  <c r="AM87" i="6"/>
  <c r="AM19" i="6"/>
  <c r="AM58" i="6"/>
  <c r="AM30" i="6"/>
  <c r="AO30" i="6"/>
  <c r="AM86" i="6"/>
  <c r="AN88" i="6"/>
  <c r="AN58" i="6"/>
  <c r="AN82" i="6"/>
  <c r="AN55" i="6"/>
  <c r="AO55" i="6"/>
  <c r="AM55" i="6"/>
  <c r="AO88" i="6"/>
  <c r="AL88" i="6"/>
  <c r="AJ88" i="6"/>
  <c r="AK88" i="6"/>
  <c r="AN30" i="6"/>
  <c r="AN71" i="6"/>
  <c r="AO71" i="6"/>
  <c r="AN25" i="6"/>
  <c r="AO25" i="6"/>
  <c r="AN27" i="6"/>
  <c r="AO27" i="6"/>
  <c r="AN63" i="6"/>
  <c r="AO63" i="6"/>
  <c r="AM63" i="6"/>
  <c r="AN50" i="6"/>
  <c r="AO50" i="6"/>
  <c r="AN85" i="6"/>
  <c r="AO85" i="6"/>
  <c r="AN86" i="6"/>
  <c r="AJ28" i="6"/>
  <c r="AL28" i="6"/>
  <c r="AO28" i="6"/>
  <c r="AK28" i="6"/>
  <c r="AJ62" i="6"/>
  <c r="AO62" i="6"/>
  <c r="AL62" i="6"/>
  <c r="AK62" i="6"/>
  <c r="AN28" i="6"/>
  <c r="AN38" i="6"/>
  <c r="AN31" i="6"/>
  <c r="AO31" i="6"/>
  <c r="AM28" i="6"/>
  <c r="AN19" i="6"/>
  <c r="AO19" i="6"/>
  <c r="AM91" i="6" l="1"/>
  <c r="AN91" i="6"/>
  <c r="F6" i="5"/>
  <c r="F7" i="5"/>
  <c r="F8" i="5"/>
  <c r="F10" i="5"/>
  <c r="F11" i="5"/>
  <c r="F15" i="5"/>
  <c r="F16" i="5"/>
  <c r="F17" i="5"/>
  <c r="F18" i="5"/>
  <c r="F19" i="5"/>
  <c r="F22" i="5"/>
  <c r="F24" i="5"/>
  <c r="R7" i="4"/>
  <c r="S7" i="4"/>
  <c r="U7" i="4"/>
  <c r="R8" i="4"/>
  <c r="S8" i="4"/>
  <c r="U8" i="4"/>
  <c r="R9" i="4"/>
  <c r="S9" i="4"/>
  <c r="U9" i="4"/>
  <c r="R49" i="4"/>
  <c r="O52" i="1" s="1"/>
  <c r="Q52" i="1" s="1"/>
  <c r="T49" i="4"/>
  <c r="V49" i="4"/>
  <c r="R51" i="4"/>
  <c r="T51" i="4"/>
  <c r="V51" i="4"/>
  <c r="R53" i="4"/>
  <c r="O56" i="1" s="1"/>
  <c r="Q56" i="1" s="1"/>
  <c r="T53" i="4"/>
  <c r="V53" i="4"/>
  <c r="AF56" i="1" s="1"/>
  <c r="R68" i="4"/>
  <c r="R69" i="4"/>
  <c r="R70" i="4"/>
  <c r="F2" i="5"/>
  <c r="D14" i="1"/>
  <c r="H14" i="1"/>
  <c r="D15" i="1"/>
  <c r="H15" i="1"/>
  <c r="D16" i="1"/>
  <c r="H16" i="1"/>
  <c r="D17" i="1"/>
  <c r="H17" i="1"/>
  <c r="D18" i="1"/>
  <c r="H18" i="1"/>
  <c r="D19" i="1"/>
  <c r="H19" i="1"/>
  <c r="AH19" i="1"/>
  <c r="D20" i="1"/>
  <c r="H20" i="1"/>
  <c r="AH20" i="1"/>
  <c r="AH27" i="1" s="1"/>
  <c r="D21" i="1"/>
  <c r="H21" i="1"/>
  <c r="AH21" i="1"/>
  <c r="D22" i="1"/>
  <c r="H22" i="1"/>
  <c r="U22" i="1"/>
  <c r="D23" i="1"/>
  <c r="H23" i="1"/>
  <c r="U23" i="1"/>
  <c r="D24" i="1"/>
  <c r="H24" i="1"/>
  <c r="U24" i="1"/>
  <c r="D25" i="1"/>
  <c r="H25" i="1"/>
  <c r="U25" i="1"/>
  <c r="AH25" i="1"/>
  <c r="D26" i="1"/>
  <c r="U26" i="1"/>
  <c r="D27" i="1"/>
  <c r="U27" i="1"/>
  <c r="D28" i="1"/>
  <c r="U28" i="1"/>
  <c r="AH28" i="1"/>
  <c r="D29" i="1"/>
  <c r="H29" i="1"/>
  <c r="K29" i="1"/>
  <c r="D30" i="1"/>
  <c r="H30" i="1"/>
  <c r="K30" i="1"/>
  <c r="D31" i="1"/>
  <c r="H31" i="1"/>
  <c r="K31" i="1"/>
  <c r="D32" i="1"/>
  <c r="H32" i="1"/>
  <c r="U32" i="1"/>
  <c r="AH32" i="1"/>
  <c r="D33" i="1"/>
  <c r="H33" i="1"/>
  <c r="U33" i="1"/>
  <c r="AH33" i="1"/>
  <c r="D34" i="1"/>
  <c r="H34" i="1"/>
  <c r="U34" i="1"/>
  <c r="AH34" i="1"/>
  <c r="D35" i="1"/>
  <c r="H35" i="1"/>
  <c r="Q35" i="1"/>
  <c r="U35" i="1"/>
  <c r="AH35" i="1"/>
  <c r="D36" i="1"/>
  <c r="H36" i="1"/>
  <c r="Q36" i="1"/>
  <c r="U36" i="1"/>
  <c r="AH36" i="1"/>
  <c r="D37" i="1"/>
  <c r="H37" i="1"/>
  <c r="Q37" i="1"/>
  <c r="U37" i="1"/>
  <c r="AH37" i="1"/>
  <c r="D38" i="1"/>
  <c r="H38" i="1"/>
  <c r="Q38" i="1"/>
  <c r="U38" i="1"/>
  <c r="AH38" i="1"/>
  <c r="D39" i="1"/>
  <c r="H39" i="1"/>
  <c r="Q39" i="1"/>
  <c r="U39" i="1"/>
  <c r="AH39" i="1"/>
  <c r="D40" i="1"/>
  <c r="H40" i="1"/>
  <c r="Q40" i="1"/>
  <c r="U40" i="1"/>
  <c r="AH40" i="1"/>
  <c r="D41" i="1"/>
  <c r="H41" i="1"/>
  <c r="U41" i="1"/>
  <c r="D42" i="1"/>
  <c r="H42" i="1"/>
  <c r="U42" i="1"/>
  <c r="D43" i="1"/>
  <c r="H43" i="1"/>
  <c r="U43" i="1"/>
  <c r="D44" i="1"/>
  <c r="H44" i="1"/>
  <c r="U44" i="1"/>
  <c r="D45" i="1"/>
  <c r="H45" i="1"/>
  <c r="U45" i="1"/>
  <c r="D46" i="1"/>
  <c r="H46" i="1"/>
  <c r="U46" i="1"/>
  <c r="D47" i="1"/>
  <c r="H47" i="1"/>
  <c r="D48" i="1"/>
  <c r="H48" i="1"/>
  <c r="D49" i="1"/>
  <c r="H49" i="1"/>
  <c r="Q49" i="1"/>
  <c r="U49" i="1"/>
  <c r="AH49" i="1"/>
  <c r="D50" i="1"/>
  <c r="H50" i="1"/>
  <c r="Q50" i="1"/>
  <c r="U50" i="1"/>
  <c r="AH50" i="1"/>
  <c r="D51" i="1"/>
  <c r="H51" i="1"/>
  <c r="Q51" i="1"/>
  <c r="U51" i="1"/>
  <c r="AH51" i="1"/>
  <c r="D52" i="1"/>
  <c r="T52" i="1"/>
  <c r="U52" i="1"/>
  <c r="AF52" i="1"/>
  <c r="D53" i="1"/>
  <c r="O53" i="1"/>
  <c r="Q53" i="1" s="1"/>
  <c r="U53" i="1"/>
  <c r="D54" i="1"/>
  <c r="O54" i="1"/>
  <c r="Q54" i="1" s="1"/>
  <c r="T54" i="1"/>
  <c r="U54" i="1"/>
  <c r="AF54" i="1"/>
  <c r="D55" i="1"/>
  <c r="O55" i="1"/>
  <c r="Q55" i="1" s="1"/>
  <c r="U55" i="1"/>
  <c r="D56" i="1"/>
  <c r="T56" i="1"/>
  <c r="U56" i="1"/>
  <c r="D57" i="1"/>
  <c r="O57" i="1"/>
  <c r="Q57" i="1" s="1"/>
  <c r="U57" i="1"/>
  <c r="D58" i="1"/>
  <c r="H58" i="1"/>
  <c r="Q58" i="1"/>
  <c r="U58" i="1"/>
  <c r="AH58" i="1"/>
  <c r="D59" i="1"/>
  <c r="H59" i="1"/>
  <c r="Q59" i="1"/>
  <c r="U59" i="1"/>
  <c r="AH59" i="1"/>
  <c r="D60" i="1"/>
  <c r="H60" i="1"/>
  <c r="Q60" i="1"/>
  <c r="U60" i="1"/>
  <c r="AH60" i="1"/>
  <c r="D61" i="1"/>
  <c r="H61" i="1"/>
  <c r="Q61" i="1"/>
  <c r="U61" i="1"/>
  <c r="AH61" i="1"/>
  <c r="D62" i="1"/>
  <c r="D63" i="1"/>
  <c r="D64" i="1"/>
  <c r="D65" i="1"/>
  <c r="D66" i="1"/>
  <c r="D67" i="1"/>
  <c r="D68" i="1"/>
  <c r="H68" i="1"/>
  <c r="U68" i="1"/>
  <c r="D69" i="1"/>
  <c r="H69" i="1"/>
  <c r="U69" i="1"/>
  <c r="D70" i="1"/>
  <c r="H70" i="1"/>
  <c r="U70" i="1"/>
  <c r="D71" i="1"/>
  <c r="H71" i="1"/>
  <c r="Q71" i="1"/>
  <c r="U71" i="1"/>
  <c r="D72" i="1"/>
  <c r="H72" i="1"/>
  <c r="U72" i="1"/>
  <c r="W72" i="1" s="1"/>
  <c r="AA72" i="1"/>
  <c r="D73" i="1"/>
  <c r="H73" i="1"/>
  <c r="U73" i="1"/>
  <c r="W73" i="1" s="1"/>
  <c r="AA73" i="1"/>
  <c r="V73" i="1" s="1"/>
  <c r="D74" i="1"/>
  <c r="H74" i="1"/>
  <c r="U74" i="1"/>
  <c r="W74" i="1" s="1"/>
  <c r="AA74" i="1"/>
  <c r="D75" i="1"/>
  <c r="AH75" i="1"/>
  <c r="D76" i="1"/>
  <c r="AH76" i="1"/>
  <c r="D77" i="1"/>
  <c r="AH77" i="1"/>
  <c r="D78" i="1"/>
  <c r="D79" i="1"/>
  <c r="D80" i="1"/>
  <c r="D81" i="1"/>
  <c r="Q81" i="1"/>
  <c r="AH81" i="1"/>
  <c r="D82" i="1"/>
  <c r="Q82" i="1"/>
  <c r="AH82" i="1"/>
  <c r="D83" i="1"/>
  <c r="Q83" i="1"/>
  <c r="AH83" i="1"/>
  <c r="D84" i="1"/>
  <c r="Q84" i="1"/>
  <c r="AH84" i="1"/>
  <c r="D85" i="1"/>
  <c r="H85" i="1"/>
  <c r="J85" i="1"/>
  <c r="D86" i="1"/>
  <c r="H86" i="1"/>
  <c r="J86" i="1"/>
  <c r="D87" i="1"/>
  <c r="H87" i="1"/>
  <c r="J87" i="1"/>
  <c r="D88" i="1"/>
  <c r="H88" i="1"/>
  <c r="J88" i="1"/>
  <c r="D89" i="1"/>
  <c r="H89" i="1"/>
  <c r="J89" i="1"/>
  <c r="D90" i="1"/>
  <c r="H90" i="1"/>
  <c r="J90" i="1"/>
  <c r="D91" i="1"/>
  <c r="H91" i="1"/>
  <c r="S91" i="1"/>
  <c r="X73" i="1" l="1"/>
  <c r="W58" i="1"/>
  <c r="F23" i="5"/>
  <c r="F9" i="5"/>
  <c r="L61" i="1"/>
  <c r="W61" i="1" s="1"/>
  <c r="L58" i="1"/>
  <c r="AI58" i="1" s="1"/>
  <c r="L40" i="1"/>
  <c r="W40" i="1" s="1"/>
  <c r="L54" i="1"/>
  <c r="AI54" i="1" s="1"/>
  <c r="L35" i="1"/>
  <c r="AI35" i="1" s="1"/>
  <c r="AI83" i="1"/>
  <c r="L55" i="1"/>
  <c r="AI55" i="1" s="1"/>
  <c r="L53" i="1"/>
  <c r="AI53" i="1" s="1"/>
  <c r="L51" i="1"/>
  <c r="AI51" i="1" s="1"/>
  <c r="L38" i="1"/>
  <c r="AI38" i="1" s="1"/>
  <c r="AI81" i="1"/>
  <c r="L50" i="1"/>
  <c r="W50" i="1" s="1"/>
  <c r="L59" i="1"/>
  <c r="AI59" i="1" s="1"/>
  <c r="L37" i="1"/>
  <c r="AI37" i="1" s="1"/>
  <c r="L71" i="1"/>
  <c r="AI71" i="1" s="1"/>
  <c r="L57" i="1"/>
  <c r="AI57" i="1" s="1"/>
  <c r="L49" i="1"/>
  <c r="AI49" i="1" s="1"/>
  <c r="L36" i="1"/>
  <c r="AI36" i="1" s="1"/>
  <c r="L56" i="1"/>
  <c r="AI56" i="1" s="1"/>
  <c r="AI82" i="1"/>
  <c r="L60" i="1"/>
  <c r="AI60" i="1" s="1"/>
  <c r="L39" i="1"/>
  <c r="AI39" i="1" s="1"/>
  <c r="L52" i="1"/>
  <c r="AI52" i="1" s="1"/>
  <c r="AI84" i="1"/>
  <c r="AI40" i="1"/>
  <c r="F12" i="5"/>
  <c r="AB73" i="1"/>
  <c r="F14" i="5"/>
  <c r="F21" i="5"/>
  <c r="F5" i="5"/>
  <c r="AB72" i="1"/>
  <c r="AC74" i="1"/>
  <c r="AJ74" i="1" s="1"/>
  <c r="V74" i="1"/>
  <c r="X74" i="1" s="1"/>
  <c r="AC73" i="1"/>
  <c r="AJ73" i="1" s="1"/>
  <c r="V72" i="1"/>
  <c r="X72" i="1" s="1"/>
  <c r="AC72" i="1"/>
  <c r="AJ72" i="1" s="1"/>
  <c r="AB74" i="1"/>
  <c r="W36" i="1" l="1"/>
  <c r="W51" i="1"/>
  <c r="W37" i="1"/>
  <c r="W56" i="1"/>
  <c r="W49" i="1"/>
  <c r="AI61" i="1"/>
  <c r="W54" i="1"/>
  <c r="W60" i="1"/>
  <c r="W59" i="1"/>
  <c r="W38" i="1"/>
  <c r="W39" i="1"/>
  <c r="W71" i="1"/>
  <c r="AI50" i="1"/>
  <c r="W55" i="1"/>
  <c r="W57" i="1"/>
  <c r="W52" i="1"/>
  <c r="W53" i="1"/>
  <c r="W35" i="1"/>
  <c r="AB91" i="1"/>
  <c r="AC91" i="1"/>
  <c r="AM72" i="1"/>
  <c r="AM74" i="1"/>
  <c r="AM73" i="1"/>
  <c r="E2" i="5" l="1"/>
  <c r="AD8" i="1" l="1"/>
  <c r="U13" i="1" l="1"/>
  <c r="U12" i="1"/>
  <c r="U11" i="1"/>
  <c r="U10" i="1"/>
  <c r="U9" i="1"/>
  <c r="U8" i="1"/>
  <c r="J92" i="1" l="1"/>
  <c r="AH13" i="1" l="1"/>
  <c r="AH12" i="1"/>
  <c r="AH11" i="1"/>
  <c r="AH10" i="1"/>
  <c r="AH9" i="1"/>
  <c r="H13" i="1" l="1"/>
  <c r="H12" i="1"/>
  <c r="H11" i="1"/>
  <c r="H10" i="1"/>
  <c r="H9" i="1"/>
  <c r="H8" i="1"/>
  <c r="Q13" i="1"/>
  <c r="Q12" i="1"/>
  <c r="Q11" i="1"/>
  <c r="Q10" i="1"/>
  <c r="Q9" i="1"/>
  <c r="Q8" i="1"/>
  <c r="L8" i="1" l="1"/>
  <c r="L9" i="1"/>
  <c r="L10" i="1"/>
  <c r="L11" i="1"/>
  <c r="L12" i="1"/>
  <c r="L13" i="1"/>
  <c r="R6" i="4"/>
  <c r="R5" i="4"/>
  <c r="R4" i="4"/>
  <c r="D9" i="1"/>
  <c r="D10" i="1"/>
  <c r="D11" i="1"/>
  <c r="D12" i="1"/>
  <c r="D13" i="1"/>
  <c r="D8" i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4" i="4"/>
  <c r="AI12" i="1" l="1"/>
  <c r="W12" i="1"/>
  <c r="AI13" i="1"/>
  <c r="W13" i="1"/>
  <c r="AI10" i="1"/>
  <c r="W10" i="1"/>
  <c r="W9" i="1"/>
  <c r="AI9" i="1"/>
  <c r="AI11" i="1"/>
  <c r="W11" i="1"/>
  <c r="AI8" i="1"/>
  <c r="AL8" i="1" s="1"/>
  <c r="W8" i="1"/>
  <c r="T20" i="1"/>
  <c r="U20" i="1" s="1"/>
  <c r="T25" i="1"/>
  <c r="AF27" i="1"/>
  <c r="AF28" i="1"/>
  <c r="T33" i="1"/>
  <c r="P40" i="1"/>
  <c r="T41" i="1"/>
  <c r="AF42" i="1"/>
  <c r="T45" i="1"/>
  <c r="Z46" i="1"/>
  <c r="AA46" i="1" s="1"/>
  <c r="Z47" i="1"/>
  <c r="AA47" i="1" s="1"/>
  <c r="P57" i="1"/>
  <c r="O58" i="1"/>
  <c r="P70" i="1"/>
  <c r="P71" i="1"/>
  <c r="P81" i="1"/>
  <c r="AG85" i="1"/>
  <c r="AG89" i="1"/>
  <c r="Z69" i="1"/>
  <c r="AA69" i="1" s="1"/>
  <c r="P76" i="1"/>
  <c r="P82" i="1"/>
  <c r="O70" i="1"/>
  <c r="Q70" i="1" s="1"/>
  <c r="P83" i="1"/>
  <c r="T16" i="1"/>
  <c r="U16" i="1" s="1"/>
  <c r="W16" i="1" s="1"/>
  <c r="Z24" i="1"/>
  <c r="AA24" i="1" s="1"/>
  <c r="AG27" i="1"/>
  <c r="AG28" i="1"/>
  <c r="T29" i="1"/>
  <c r="U29" i="1" s="1"/>
  <c r="AF46" i="1"/>
  <c r="AG47" i="1"/>
  <c r="AG52" i="1"/>
  <c r="T57" i="1"/>
  <c r="P60" i="1"/>
  <c r="O66" i="1"/>
  <c r="Q66" i="1" s="1"/>
  <c r="T70" i="1"/>
  <c r="O76" i="1"/>
  <c r="Q76" i="1" s="1"/>
  <c r="O82" i="1"/>
  <c r="AG29" i="1"/>
  <c r="O31" i="1"/>
  <c r="Q31" i="1" s="1"/>
  <c r="AG32" i="1"/>
  <c r="AF33" i="1"/>
  <c r="O75" i="1"/>
  <c r="Q75" i="1" s="1"/>
  <c r="T81" i="1"/>
  <c r="U81" i="1" s="1"/>
  <c r="W81" i="1" s="1"/>
  <c r="P69" i="1"/>
  <c r="O81" i="1"/>
  <c r="AF23" i="1"/>
  <c r="AF24" i="1"/>
  <c r="AF25" i="1"/>
  <c r="P66" i="1"/>
  <c r="O85" i="1"/>
  <c r="Q85" i="1" s="1"/>
  <c r="O24" i="1"/>
  <c r="Q24" i="1" s="1"/>
  <c r="O33" i="1"/>
  <c r="Q33" i="1" s="1"/>
  <c r="Q91" i="1" s="1"/>
  <c r="L91" i="1" s="1"/>
  <c r="T46" i="1"/>
  <c r="Z21" i="1"/>
  <c r="AA21" i="1" s="1"/>
  <c r="P24" i="1"/>
  <c r="O25" i="1"/>
  <c r="Q25" i="1" s="1"/>
  <c r="Z28" i="1"/>
  <c r="AA28" i="1" s="1"/>
  <c r="AG43" i="1"/>
  <c r="AG53" i="1"/>
  <c r="T67" i="1"/>
  <c r="U67" i="1" s="1"/>
  <c r="O15" i="1"/>
  <c r="Q15" i="1" s="1"/>
  <c r="AG24" i="1"/>
  <c r="AG25" i="1"/>
  <c r="P27" i="1"/>
  <c r="P31" i="1"/>
  <c r="Z56" i="1"/>
  <c r="AA56" i="1" s="1"/>
  <c r="AF57" i="1"/>
  <c r="AF58" i="1"/>
  <c r="AG66" i="1"/>
  <c r="AG69" i="1"/>
  <c r="AF70" i="1"/>
  <c r="AF71" i="1"/>
  <c r="P75" i="1"/>
  <c r="AF79" i="1"/>
  <c r="P85" i="1"/>
  <c r="T21" i="1"/>
  <c r="U21" i="1" s="1"/>
  <c r="P30" i="1"/>
  <c r="P47" i="1"/>
  <c r="Z27" i="1"/>
  <c r="AA27" i="1" s="1"/>
  <c r="O29" i="1"/>
  <c r="Q29" i="1" s="1"/>
  <c r="T34" i="1"/>
  <c r="T47" i="1"/>
  <c r="U47" i="1" s="1"/>
  <c r="Z52" i="1"/>
  <c r="AA52" i="1" s="1"/>
  <c r="T15" i="1"/>
  <c r="U15" i="1" s="1"/>
  <c r="O21" i="1"/>
  <c r="Q21" i="1" s="1"/>
  <c r="P22" i="1"/>
  <c r="T27" i="1"/>
  <c r="Z31" i="1"/>
  <c r="AA31" i="1" s="1"/>
  <c r="AG40" i="1"/>
  <c r="O43" i="1"/>
  <c r="Q43" i="1" s="1"/>
  <c r="P52" i="1"/>
  <c r="AG57" i="1"/>
  <c r="AG58" i="1"/>
  <c r="AF63" i="1"/>
  <c r="AH63" i="1" s="1"/>
  <c r="AG71" i="1"/>
  <c r="T75" i="1"/>
  <c r="U75" i="1" s="1"/>
  <c r="AG79" i="1"/>
  <c r="Z81" i="1"/>
  <c r="AA81" i="1" s="1"/>
  <c r="O34" i="1"/>
  <c r="Q34" i="1" s="1"/>
  <c r="P21" i="1"/>
  <c r="O28" i="1"/>
  <c r="Q28" i="1" s="1"/>
  <c r="AF31" i="1"/>
  <c r="AH31" i="1" s="1"/>
  <c r="P42" i="1"/>
  <c r="T43" i="1"/>
  <c r="O47" i="1"/>
  <c r="Q47" i="1" s="1"/>
  <c r="AG48" i="1"/>
  <c r="Z54" i="1"/>
  <c r="AA54" i="1" s="1"/>
  <c r="Z59" i="1"/>
  <c r="AA59" i="1" s="1"/>
  <c r="O67" i="1"/>
  <c r="Q67" i="1" s="1"/>
  <c r="AG81" i="1"/>
  <c r="T85" i="1"/>
  <c r="U85" i="1" s="1"/>
  <c r="O83" i="1"/>
  <c r="O71" i="1"/>
  <c r="AG31" i="1"/>
  <c r="O64" i="1"/>
  <c r="Q64" i="1" s="1"/>
  <c r="Z85" i="1"/>
  <c r="AA85" i="1" s="1"/>
  <c r="AF85" i="1"/>
  <c r="AG41" i="1"/>
  <c r="T71" i="1"/>
  <c r="T26" i="1"/>
  <c r="AG46" i="1"/>
  <c r="P63" i="1"/>
  <c r="O17" i="1"/>
  <c r="Z43" i="1"/>
  <c r="AA43" i="1" s="1"/>
  <c r="O79" i="1"/>
  <c r="Q79" i="1" s="1"/>
  <c r="AG75" i="1"/>
  <c r="Z55" i="1"/>
  <c r="AA55" i="1" s="1"/>
  <c r="O26" i="1"/>
  <c r="Q26" i="1" s="1"/>
  <c r="Z89" i="1"/>
  <c r="AA89" i="1" s="1"/>
  <c r="P43" i="1"/>
  <c r="AF65" i="1"/>
  <c r="AH65" i="1" s="1"/>
  <c r="O87" i="1"/>
  <c r="Q87" i="1" s="1"/>
  <c r="AF43" i="1"/>
  <c r="AG16" i="1"/>
  <c r="P56" i="1"/>
  <c r="AG36" i="1"/>
  <c r="T14" i="1"/>
  <c r="U14" i="1" s="1"/>
  <c r="Z75" i="1"/>
  <c r="AA75" i="1" s="1"/>
  <c r="O50" i="1"/>
  <c r="AF29" i="1"/>
  <c r="AH29" i="1" s="1"/>
  <c r="AF26" i="1"/>
  <c r="O88" i="1"/>
  <c r="Q88" i="1" s="1"/>
  <c r="Z62" i="1"/>
  <c r="AA62" i="1" s="1"/>
  <c r="AG77" i="1"/>
  <c r="T69" i="1"/>
  <c r="O86" i="1"/>
  <c r="Q86" i="1" s="1"/>
  <c r="O16" i="1"/>
  <c r="AG70" i="1"/>
  <c r="P25" i="1"/>
  <c r="AF34" i="1"/>
  <c r="T53" i="1"/>
  <c r="O36" i="1"/>
  <c r="T22" i="1"/>
  <c r="P54" i="1"/>
  <c r="T66" i="1"/>
  <c r="U66" i="1" s="1"/>
  <c r="AG54" i="1"/>
  <c r="Z23" i="1"/>
  <c r="AA23" i="1" s="1"/>
  <c r="AF88" i="1"/>
  <c r="Z42" i="1"/>
  <c r="AA42" i="1" s="1"/>
  <c r="AG87" i="1"/>
  <c r="T83" i="1"/>
  <c r="U83" i="1" s="1"/>
  <c r="W83" i="1" s="1"/>
  <c r="AF38" i="1"/>
  <c r="AG15" i="1"/>
  <c r="P53" i="1"/>
  <c r="AG30" i="1"/>
  <c r="O44" i="1"/>
  <c r="Q44" i="1" s="1"/>
  <c r="AG20" i="1"/>
  <c r="Z20" i="1"/>
  <c r="AA20" i="1" s="1"/>
  <c r="T86" i="1"/>
  <c r="U86" i="1" s="1"/>
  <c r="AG88" i="1"/>
  <c r="P67" i="1"/>
  <c r="O80" i="1"/>
  <c r="Q80" i="1" s="1"/>
  <c r="P77" i="1"/>
  <c r="AG90" i="1"/>
  <c r="P62" i="1"/>
  <c r="P49" i="1"/>
  <c r="T49" i="1"/>
  <c r="Z58" i="1"/>
  <c r="AA58" i="1" s="1"/>
  <c r="P39" i="1"/>
  <c r="Z35" i="1"/>
  <c r="AA35" i="1" s="1"/>
  <c r="P34" i="1"/>
  <c r="Z19" i="1"/>
  <c r="AA19" i="1" s="1"/>
  <c r="Z16" i="1"/>
  <c r="AA16" i="1" s="1"/>
  <c r="O14" i="1"/>
  <c r="Q14" i="1" s="1"/>
  <c r="AG67" i="1"/>
  <c r="O46" i="1"/>
  <c r="Q46" i="1" s="1"/>
  <c r="T78" i="1"/>
  <c r="U78" i="1" s="1"/>
  <c r="AF36" i="1"/>
  <c r="AG78" i="1"/>
  <c r="AF78" i="1"/>
  <c r="T63" i="1"/>
  <c r="U63" i="1" s="1"/>
  <c r="Z77" i="1"/>
  <c r="AA77" i="1" s="1"/>
  <c r="AF61" i="1"/>
  <c r="O39" i="1"/>
  <c r="O78" i="1"/>
  <c r="Q78" i="1" s="1"/>
  <c r="O69" i="1"/>
  <c r="Q69" i="1" s="1"/>
  <c r="O65" i="1"/>
  <c r="Q65" i="1" s="1"/>
  <c r="P29" i="1"/>
  <c r="AF48" i="1"/>
  <c r="T31" i="1"/>
  <c r="U31" i="1" s="1"/>
  <c r="AG21" i="1"/>
  <c r="T44" i="1"/>
  <c r="T55" i="1"/>
  <c r="P51" i="1"/>
  <c r="AG22" i="1"/>
  <c r="AF87" i="1"/>
  <c r="AG65" i="1"/>
  <c r="AF22" i="1"/>
  <c r="AG82" i="1"/>
  <c r="T32" i="1"/>
  <c r="AF14" i="1"/>
  <c r="AG50" i="1"/>
  <c r="P23" i="1"/>
  <c r="P84" i="1"/>
  <c r="Z41" i="1"/>
  <c r="AA41" i="1" s="1"/>
  <c r="T80" i="1"/>
  <c r="U80" i="1" s="1"/>
  <c r="P78" i="1"/>
  <c r="Z87" i="1"/>
  <c r="AA87" i="1" s="1"/>
  <c r="P65" i="1"/>
  <c r="AG68" i="1"/>
  <c r="AG86" i="1"/>
  <c r="Z53" i="1"/>
  <c r="AA53" i="1" s="1"/>
  <c r="T48" i="1"/>
  <c r="U48" i="1" s="1"/>
  <c r="AG49" i="1"/>
  <c r="AG51" i="1"/>
  <c r="AG39" i="1"/>
  <c r="O35" i="1"/>
  <c r="AG45" i="1"/>
  <c r="Z34" i="1"/>
  <c r="AA34" i="1" s="1"/>
  <c r="AG23" i="1"/>
  <c r="P19" i="1"/>
  <c r="Z15" i="1"/>
  <c r="AA15" i="1" s="1"/>
  <c r="O59" i="1"/>
  <c r="T64" i="1"/>
  <c r="U64" i="1" s="1"/>
  <c r="P58" i="1"/>
  <c r="T24" i="1"/>
  <c r="AF47" i="1"/>
  <c r="O23" i="1"/>
  <c r="Q23" i="1" s="1"/>
  <c r="T62" i="1"/>
  <c r="U62" i="1" s="1"/>
  <c r="O27" i="1"/>
  <c r="Q27" i="1" s="1"/>
  <c r="O42" i="1"/>
  <c r="Q42" i="1" s="1"/>
  <c r="O22" i="1"/>
  <c r="Q22" i="1" s="1"/>
  <c r="Z84" i="1"/>
  <c r="AA84" i="1" s="1"/>
  <c r="AG60" i="1"/>
  <c r="AF89" i="1"/>
  <c r="T89" i="1"/>
  <c r="U89" i="1" s="1"/>
  <c r="T28" i="1"/>
  <c r="P50" i="1"/>
  <c r="AG19" i="1"/>
  <c r="Z82" i="1"/>
  <c r="AA82" i="1" s="1"/>
  <c r="Z70" i="1"/>
  <c r="AA70" i="1" s="1"/>
  <c r="AF40" i="1"/>
  <c r="Z78" i="1"/>
  <c r="AA78" i="1" s="1"/>
  <c r="Z79" i="1"/>
  <c r="AA79" i="1" s="1"/>
  <c r="AG64" i="1"/>
  <c r="P80" i="1"/>
  <c r="Z90" i="1"/>
  <c r="AA90" i="1" s="1"/>
  <c r="Z65" i="1"/>
  <c r="AA65" i="1" s="1"/>
  <c r="AF68" i="1"/>
  <c r="T79" i="1"/>
  <c r="U79" i="1" s="1"/>
  <c r="AF80" i="1"/>
  <c r="O48" i="1"/>
  <c r="Q48" i="1" s="1"/>
  <c r="O49" i="1"/>
  <c r="Z39" i="1"/>
  <c r="AA39" i="1" s="1"/>
  <c r="P45" i="1"/>
  <c r="Z37" i="1"/>
  <c r="AA37" i="1" s="1"/>
  <c r="T18" i="1"/>
  <c r="U18" i="1" s="1"/>
  <c r="W18" i="1" s="1"/>
  <c r="P18" i="1"/>
  <c r="Z32" i="1"/>
  <c r="AA32" i="1" s="1"/>
  <c r="AF45" i="1"/>
  <c r="T61" i="1"/>
  <c r="O84" i="1"/>
  <c r="T76" i="1"/>
  <c r="U76" i="1" s="1"/>
  <c r="AG42" i="1"/>
  <c r="O18" i="1"/>
  <c r="AG38" i="1"/>
  <c r="P15" i="1"/>
  <c r="O41" i="1"/>
  <c r="Q41" i="1" s="1"/>
  <c r="P20" i="1"/>
  <c r="AG83" i="1"/>
  <c r="T59" i="1"/>
  <c r="AF44" i="1"/>
  <c r="Z88" i="1"/>
  <c r="AA88" i="1" s="1"/>
  <c r="T23" i="1"/>
  <c r="AF60" i="1"/>
  <c r="AF18" i="1"/>
  <c r="Z67" i="1"/>
  <c r="AA67" i="1" s="1"/>
  <c r="AG61" i="1"/>
  <c r="AF76" i="1"/>
  <c r="P55" i="1"/>
  <c r="AG62" i="1"/>
  <c r="O68" i="1"/>
  <c r="Q68" i="1" s="1"/>
  <c r="P48" i="1"/>
  <c r="P87" i="1"/>
  <c r="AG56" i="1"/>
  <c r="O77" i="1"/>
  <c r="Q77" i="1" s="1"/>
  <c r="T60" i="1"/>
  <c r="AF30" i="1"/>
  <c r="AH30" i="1" s="1"/>
  <c r="Z57" i="1"/>
  <c r="AA57" i="1" s="1"/>
  <c r="AF90" i="1"/>
  <c r="AF49" i="1"/>
  <c r="P38" i="1"/>
  <c r="AF53" i="1"/>
  <c r="AG84" i="1"/>
  <c r="T87" i="1"/>
  <c r="U87" i="1" s="1"/>
  <c r="AF66" i="1"/>
  <c r="AH66" i="1" s="1"/>
  <c r="Z22" i="1"/>
  <c r="AA22" i="1" s="1"/>
  <c r="Z66" i="1"/>
  <c r="AA66" i="1" s="1"/>
  <c r="P44" i="1"/>
  <c r="AF17" i="1"/>
  <c r="AG76" i="1"/>
  <c r="O61" i="1"/>
  <c r="P36" i="1"/>
  <c r="AG44" i="1"/>
  <c r="P68" i="1"/>
  <c r="T90" i="1"/>
  <c r="U90" i="1" s="1"/>
  <c r="AF77" i="1"/>
  <c r="AF55" i="1"/>
  <c r="T77" i="1"/>
  <c r="U77" i="1" s="1"/>
  <c r="Z86" i="1"/>
  <c r="AA86" i="1" s="1"/>
  <c r="AF64" i="1"/>
  <c r="AH64" i="1" s="1"/>
  <c r="AG63" i="1"/>
  <c r="O51" i="1"/>
  <c r="AF59" i="1"/>
  <c r="Z48" i="1"/>
  <c r="AA48" i="1" s="1"/>
  <c r="AF39" i="1"/>
  <c r="Z45" i="1"/>
  <c r="AA45" i="1" s="1"/>
  <c r="Z38" i="1"/>
  <c r="AA38" i="1" s="1"/>
  <c r="P33" i="1"/>
  <c r="Z40" i="1"/>
  <c r="AA40" i="1" s="1"/>
  <c r="P16" i="1"/>
  <c r="AG26" i="1"/>
  <c r="AG37" i="1"/>
  <c r="AF51" i="1"/>
  <c r="AG14" i="1"/>
  <c r="T82" i="1"/>
  <c r="U82" i="1" s="1"/>
  <c r="W82" i="1" s="1"/>
  <c r="AF32" i="1"/>
  <c r="Z44" i="1"/>
  <c r="AA44" i="1" s="1"/>
  <c r="Z71" i="1"/>
  <c r="AA71" i="1" s="1"/>
  <c r="P88" i="1"/>
  <c r="P46" i="1"/>
  <c r="AG17" i="1"/>
  <c r="P59" i="1"/>
  <c r="AF41" i="1"/>
  <c r="AF15" i="1"/>
  <c r="Z76" i="1"/>
  <c r="AA76" i="1" s="1"/>
  <c r="AF50" i="1"/>
  <c r="Z30" i="1"/>
  <c r="AA30" i="1" s="1"/>
  <c r="T68" i="1"/>
  <c r="P79" i="1"/>
  <c r="Z64" i="1"/>
  <c r="AA64" i="1" s="1"/>
  <c r="Z51" i="1"/>
  <c r="AA51" i="1" s="1"/>
  <c r="P41" i="1"/>
  <c r="AF37" i="1"/>
  <c r="Z26" i="1"/>
  <c r="AA26" i="1" s="1"/>
  <c r="Z14" i="1"/>
  <c r="AA14" i="1" s="1"/>
  <c r="Z80" i="1"/>
  <c r="AA80" i="1" s="1"/>
  <c r="Z83" i="1"/>
  <c r="AA83" i="1" s="1"/>
  <c r="Z50" i="1"/>
  <c r="AA50" i="1" s="1"/>
  <c r="AF67" i="1"/>
  <c r="AH67" i="1" s="1"/>
  <c r="O40" i="1"/>
  <c r="P28" i="1"/>
  <c r="O20" i="1"/>
  <c r="Q20" i="1" s="1"/>
  <c r="T88" i="1"/>
  <c r="U88" i="1" s="1"/>
  <c r="P32" i="1"/>
  <c r="Z61" i="1"/>
  <c r="AA61" i="1" s="1"/>
  <c r="O37" i="1"/>
  <c r="T50" i="1"/>
  <c r="T84" i="1"/>
  <c r="U84" i="1" s="1"/>
  <c r="W84" i="1" s="1"/>
  <c r="P89" i="1"/>
  <c r="Z60" i="1"/>
  <c r="AA60" i="1" s="1"/>
  <c r="AG18" i="1"/>
  <c r="T65" i="1"/>
  <c r="U65" i="1" s="1"/>
  <c r="T42" i="1"/>
  <c r="AF16" i="1"/>
  <c r="AF75" i="1"/>
  <c r="AG59" i="1"/>
  <c r="O32" i="1"/>
  <c r="Q32" i="1" s="1"/>
  <c r="Z36" i="1"/>
  <c r="AA36" i="1" s="1"/>
  <c r="V36" i="1" s="1"/>
  <c r="X36" i="1" s="1"/>
  <c r="Z68" i="1"/>
  <c r="AA68" i="1" s="1"/>
  <c r="AG55" i="1"/>
  <c r="P86" i="1"/>
  <c r="P90" i="1"/>
  <c r="P64" i="1"/>
  <c r="O63" i="1"/>
  <c r="Q63" i="1" s="1"/>
  <c r="T51" i="1"/>
  <c r="T58" i="1"/>
  <c r="AF35" i="1"/>
  <c r="O45" i="1"/>
  <c r="Q45" i="1" s="1"/>
  <c r="P37" i="1"/>
  <c r="Z33" i="1"/>
  <c r="AA33" i="1" s="1"/>
  <c r="O30" i="1"/>
  <c r="Q30" i="1" s="1"/>
  <c r="O19" i="1"/>
  <c r="Q19" i="1" s="1"/>
  <c r="Z25" i="1"/>
  <c r="AA25" i="1" s="1"/>
  <c r="AG80" i="1"/>
  <c r="O89" i="1"/>
  <c r="Q89" i="1" s="1"/>
  <c r="T19" i="1"/>
  <c r="U19" i="1" s="1"/>
  <c r="AF86" i="1"/>
  <c r="O60" i="1"/>
  <c r="T30" i="1"/>
  <c r="U30" i="1" s="1"/>
  <c r="AF69" i="1"/>
  <c r="Z63" i="1"/>
  <c r="AA63" i="1" s="1"/>
  <c r="P35" i="1"/>
  <c r="Z18" i="1"/>
  <c r="AA18" i="1" s="1"/>
  <c r="O90" i="1"/>
  <c r="Q90" i="1" s="1"/>
  <c r="P61" i="1"/>
  <c r="AG34" i="1"/>
  <c r="Z17" i="1"/>
  <c r="AA17" i="1" s="1"/>
  <c r="AG35" i="1"/>
  <c r="T17" i="1"/>
  <c r="U17" i="1" s="1"/>
  <c r="W17" i="1" s="1"/>
  <c r="O38" i="1"/>
  <c r="Z49" i="1"/>
  <c r="AA49" i="1" s="1"/>
  <c r="AG33" i="1"/>
  <c r="Z29" i="1"/>
  <c r="AA29" i="1" s="1"/>
  <c r="AF62" i="1"/>
  <c r="AH62" i="1" s="1"/>
  <c r="P17" i="1"/>
  <c r="P14" i="1"/>
  <c r="O62" i="1"/>
  <c r="Q62" i="1" s="1"/>
  <c r="P26" i="1"/>
  <c r="T12" i="1"/>
  <c r="T11" i="1"/>
  <c r="T10" i="1"/>
  <c r="T9" i="1"/>
  <c r="T8" i="1"/>
  <c r="T13" i="1"/>
  <c r="P11" i="1"/>
  <c r="P10" i="1"/>
  <c r="P9" i="1"/>
  <c r="P8" i="1"/>
  <c r="P13" i="1"/>
  <c r="P12" i="1"/>
  <c r="AF11" i="1"/>
  <c r="AG13" i="1"/>
  <c r="AF13" i="1"/>
  <c r="AF12" i="1"/>
  <c r="AF8" i="1"/>
  <c r="AG12" i="1"/>
  <c r="AG10" i="1"/>
  <c r="AG8" i="1"/>
  <c r="AG11" i="1"/>
  <c r="AG9" i="1"/>
  <c r="AF9" i="1"/>
  <c r="AF10" i="1"/>
  <c r="Z13" i="1"/>
  <c r="AA13" i="1" s="1"/>
  <c r="Z12" i="1"/>
  <c r="AA12" i="1" s="1"/>
  <c r="Z9" i="1"/>
  <c r="AA9" i="1" s="1"/>
  <c r="Z11" i="1"/>
  <c r="AA11" i="1" s="1"/>
  <c r="Z10" i="1"/>
  <c r="AA10" i="1" s="1"/>
  <c r="Z8" i="1"/>
  <c r="AA8" i="1" s="1"/>
  <c r="O8" i="1"/>
  <c r="O13" i="1"/>
  <c r="O12" i="1"/>
  <c r="O11" i="1"/>
  <c r="O10" i="1"/>
  <c r="O9" i="1"/>
  <c r="AO8" i="1" l="1"/>
  <c r="Y92" i="1"/>
  <c r="S92" i="1"/>
  <c r="AI91" i="1"/>
  <c r="AJ91" i="1" s="1"/>
  <c r="W91" i="1"/>
  <c r="V40" i="1"/>
  <c r="X40" i="1" s="1"/>
  <c r="V37" i="1"/>
  <c r="X37" i="1" s="1"/>
  <c r="V38" i="1"/>
  <c r="X38" i="1" s="1"/>
  <c r="V39" i="1"/>
  <c r="X39" i="1" s="1"/>
  <c r="AB30" i="1"/>
  <c r="L30" i="1"/>
  <c r="W30" i="1" s="1"/>
  <c r="L77" i="1"/>
  <c r="AI77" i="1" s="1"/>
  <c r="L27" i="1"/>
  <c r="L14" i="1"/>
  <c r="AI14" i="1" s="1"/>
  <c r="L26" i="1"/>
  <c r="L29" i="1"/>
  <c r="AI29" i="1" s="1"/>
  <c r="L25" i="1"/>
  <c r="L32" i="1"/>
  <c r="L31" i="1"/>
  <c r="AI31" i="1" s="1"/>
  <c r="L41" i="1"/>
  <c r="L48" i="1"/>
  <c r="AI48" i="1" s="1"/>
  <c r="L23" i="1"/>
  <c r="L44" i="1"/>
  <c r="L88" i="1"/>
  <c r="AI88" i="1" s="1"/>
  <c r="L70" i="1"/>
  <c r="L90" i="1"/>
  <c r="AI90" i="1" s="1"/>
  <c r="L45" i="1"/>
  <c r="L65" i="1"/>
  <c r="W65" i="1" s="1"/>
  <c r="L79" i="1"/>
  <c r="AI79" i="1" s="1"/>
  <c r="L67" i="1"/>
  <c r="AI67" i="1" s="1"/>
  <c r="L28" i="1"/>
  <c r="L21" i="1"/>
  <c r="AI21" i="1" s="1"/>
  <c r="L15" i="1"/>
  <c r="AI15" i="1" s="1"/>
  <c r="L89" i="1"/>
  <c r="AI89" i="1" s="1"/>
  <c r="L68" i="1"/>
  <c r="L69" i="1"/>
  <c r="L80" i="1"/>
  <c r="AI80" i="1" s="1"/>
  <c r="L87" i="1"/>
  <c r="AI87" i="1" s="1"/>
  <c r="L33" i="1"/>
  <c r="L76" i="1"/>
  <c r="AI76" i="1" s="1"/>
  <c r="L62" i="1"/>
  <c r="AI62" i="1" s="1"/>
  <c r="L20" i="1"/>
  <c r="AI20" i="1" s="1"/>
  <c r="L78" i="1"/>
  <c r="AI78" i="1" s="1"/>
  <c r="AI65" i="1"/>
  <c r="L64" i="1"/>
  <c r="AI64" i="1" s="1"/>
  <c r="L34" i="1"/>
  <c r="L24" i="1"/>
  <c r="L22" i="1"/>
  <c r="L46" i="1"/>
  <c r="L86" i="1"/>
  <c r="AI86" i="1" s="1"/>
  <c r="L43" i="1"/>
  <c r="L85" i="1"/>
  <c r="AI85" i="1" s="1"/>
  <c r="L75" i="1"/>
  <c r="AI75" i="1" s="1"/>
  <c r="L66" i="1"/>
  <c r="AI66" i="1" s="1"/>
  <c r="L19" i="1"/>
  <c r="AI19" i="1" s="1"/>
  <c r="L63" i="1"/>
  <c r="AI63" i="1" s="1"/>
  <c r="L42" i="1"/>
  <c r="L47" i="1"/>
  <c r="AI47" i="1" s="1"/>
  <c r="AC46" i="1"/>
  <c r="F20" i="5"/>
  <c r="F13" i="5"/>
  <c r="AD26" i="1"/>
  <c r="AB31" i="1"/>
  <c r="AC31" i="1"/>
  <c r="V31" i="1"/>
  <c r="AB48" i="1"/>
  <c r="AC48" i="1"/>
  <c r="V48" i="1"/>
  <c r="AC60" i="1"/>
  <c r="AJ60" i="1" s="1"/>
  <c r="AB60" i="1"/>
  <c r="V60" i="1"/>
  <c r="X60" i="1" s="1"/>
  <c r="AB26" i="1"/>
  <c r="V26" i="1"/>
  <c r="AC26" i="1"/>
  <c r="AC17" i="1"/>
  <c r="AJ17" i="1" s="1"/>
  <c r="AB17" i="1"/>
  <c r="V17" i="1"/>
  <c r="X17" i="1" s="1"/>
  <c r="AC38" i="1"/>
  <c r="AJ38" i="1" s="1"/>
  <c r="AB38" i="1"/>
  <c r="AC39" i="1"/>
  <c r="AJ39" i="1" s="1"/>
  <c r="AB39" i="1"/>
  <c r="AB15" i="1"/>
  <c r="AC15" i="1"/>
  <c r="V15" i="1"/>
  <c r="AC20" i="1"/>
  <c r="AB20" i="1"/>
  <c r="V20" i="1"/>
  <c r="AB33" i="1"/>
  <c r="V33" i="1"/>
  <c r="AC33" i="1"/>
  <c r="V50" i="1"/>
  <c r="X50" i="1" s="1"/>
  <c r="AC50" i="1"/>
  <c r="AJ50" i="1" s="1"/>
  <c r="AB50" i="1"/>
  <c r="AC64" i="1"/>
  <c r="V64" i="1"/>
  <c r="AB64" i="1"/>
  <c r="V45" i="1"/>
  <c r="AB45" i="1"/>
  <c r="AC45" i="1"/>
  <c r="AC67" i="1"/>
  <c r="V67" i="1"/>
  <c r="AB67" i="1"/>
  <c r="AC41" i="1"/>
  <c r="AB41" i="1"/>
  <c r="V41" i="1"/>
  <c r="AB16" i="1"/>
  <c r="AC16" i="1"/>
  <c r="AJ16" i="1" s="1"/>
  <c r="V16" i="1"/>
  <c r="X16" i="1" s="1"/>
  <c r="AC42" i="1"/>
  <c r="V42" i="1"/>
  <c r="AB42" i="1"/>
  <c r="V62" i="1"/>
  <c r="AB62" i="1"/>
  <c r="AC62" i="1"/>
  <c r="AC55" i="1"/>
  <c r="AJ55" i="1" s="1"/>
  <c r="V55" i="1"/>
  <c r="X55" i="1" s="1"/>
  <c r="AB55" i="1"/>
  <c r="AC27" i="1"/>
  <c r="V27" i="1"/>
  <c r="AB27" i="1"/>
  <c r="AB80" i="1"/>
  <c r="AC80" i="1"/>
  <c r="V80" i="1"/>
  <c r="AB36" i="1"/>
  <c r="AM36" i="1" s="1"/>
  <c r="AC36" i="1"/>
  <c r="AJ36" i="1" s="1"/>
  <c r="AC90" i="1"/>
  <c r="V90" i="1"/>
  <c r="AB90" i="1"/>
  <c r="AC51" i="1"/>
  <c r="AJ51" i="1" s="1"/>
  <c r="AB51" i="1"/>
  <c r="V51" i="1"/>
  <c r="X51" i="1" s="1"/>
  <c r="AC86" i="1"/>
  <c r="AB86" i="1"/>
  <c r="V86" i="1"/>
  <c r="AC77" i="1"/>
  <c r="AB77" i="1"/>
  <c r="V77" i="1"/>
  <c r="AB29" i="1"/>
  <c r="AC29" i="1"/>
  <c r="V29" i="1"/>
  <c r="AB61" i="1"/>
  <c r="AC61" i="1"/>
  <c r="AJ61" i="1" s="1"/>
  <c r="V61" i="1"/>
  <c r="X61" i="1" s="1"/>
  <c r="AB83" i="1"/>
  <c r="AM83" i="1" s="1"/>
  <c r="V83" i="1"/>
  <c r="X83" i="1" s="1"/>
  <c r="AC83" i="1"/>
  <c r="AJ83" i="1" s="1"/>
  <c r="V79" i="1"/>
  <c r="AC79" i="1"/>
  <c r="AB79" i="1"/>
  <c r="AB53" i="1"/>
  <c r="V53" i="1"/>
  <c r="X53" i="1" s="1"/>
  <c r="AC53" i="1"/>
  <c r="AJ53" i="1" s="1"/>
  <c r="V19" i="1"/>
  <c r="AB19" i="1"/>
  <c r="AC19" i="1"/>
  <c r="AB88" i="1"/>
  <c r="AB21" i="1"/>
  <c r="V21" i="1"/>
  <c r="AC21" i="1"/>
  <c r="V32" i="1"/>
  <c r="AB32" i="1"/>
  <c r="AC32" i="1"/>
  <c r="AC78" i="1"/>
  <c r="V78" i="1"/>
  <c r="AB78" i="1"/>
  <c r="V34" i="1"/>
  <c r="AB34" i="1"/>
  <c r="AC34" i="1"/>
  <c r="AC23" i="1"/>
  <c r="AB23" i="1"/>
  <c r="V23" i="1"/>
  <c r="AB49" i="1"/>
  <c r="AC49" i="1"/>
  <c r="AJ49" i="1" s="1"/>
  <c r="V49" i="1"/>
  <c r="X49" i="1" s="1"/>
  <c r="AB18" i="1"/>
  <c r="AC18" i="1"/>
  <c r="AJ18" i="1" s="1"/>
  <c r="V18" i="1"/>
  <c r="X18" i="1" s="1"/>
  <c r="AC68" i="1"/>
  <c r="V68" i="1"/>
  <c r="AB68" i="1"/>
  <c r="V14" i="1"/>
  <c r="AB14" i="1"/>
  <c r="AC14" i="1"/>
  <c r="V30" i="1"/>
  <c r="AC30" i="1"/>
  <c r="V66" i="1"/>
  <c r="AC66" i="1"/>
  <c r="AB66" i="1"/>
  <c r="V35" i="1"/>
  <c r="X35" i="1" s="1"/>
  <c r="AC35" i="1"/>
  <c r="AJ35" i="1" s="1"/>
  <c r="AB35" i="1"/>
  <c r="AC43" i="1"/>
  <c r="V43" i="1"/>
  <c r="AB43" i="1"/>
  <c r="V85" i="1"/>
  <c r="AC85" i="1"/>
  <c r="AJ85" i="1" s="1"/>
  <c r="AB59" i="1"/>
  <c r="AC59" i="1"/>
  <c r="AJ59" i="1" s="1"/>
  <c r="V59" i="1"/>
  <c r="X59" i="1" s="1"/>
  <c r="AC54" i="1"/>
  <c r="AJ54" i="1" s="1"/>
  <c r="AB54" i="1"/>
  <c r="V54" i="1"/>
  <c r="X54" i="1" s="1"/>
  <c r="AC52" i="1"/>
  <c r="AJ52" i="1" s="1"/>
  <c r="V52" i="1"/>
  <c r="X52" i="1" s="1"/>
  <c r="AB52" i="1"/>
  <c r="AB69" i="1"/>
  <c r="AC69" i="1"/>
  <c r="V69" i="1"/>
  <c r="AC47" i="1"/>
  <c r="V47" i="1"/>
  <c r="AB47" i="1"/>
  <c r="AB71" i="1"/>
  <c r="V71" i="1"/>
  <c r="X71" i="1" s="1"/>
  <c r="AC71" i="1"/>
  <c r="AJ71" i="1" s="1"/>
  <c r="V22" i="1"/>
  <c r="AB22" i="1"/>
  <c r="AC22" i="1"/>
  <c r="V57" i="1"/>
  <c r="X57" i="1" s="1"/>
  <c r="AB57" i="1"/>
  <c r="AC57" i="1"/>
  <c r="AJ57" i="1" s="1"/>
  <c r="AC88" i="1"/>
  <c r="V88" i="1"/>
  <c r="AC70" i="1"/>
  <c r="AB70" i="1"/>
  <c r="V70" i="1"/>
  <c r="AB84" i="1"/>
  <c r="AM84" i="1" s="1"/>
  <c r="AC84" i="1"/>
  <c r="AJ84" i="1" s="1"/>
  <c r="V84" i="1"/>
  <c r="X84" i="1" s="1"/>
  <c r="AC63" i="1"/>
  <c r="V63" i="1"/>
  <c r="AB63" i="1"/>
  <c r="V25" i="1"/>
  <c r="AC25" i="1"/>
  <c r="AB25" i="1"/>
  <c r="V76" i="1"/>
  <c r="AB76" i="1"/>
  <c r="AC76" i="1"/>
  <c r="V44" i="1"/>
  <c r="AC44" i="1"/>
  <c r="AB44" i="1"/>
  <c r="AC40" i="1"/>
  <c r="AJ40" i="1" s="1"/>
  <c r="AB40" i="1"/>
  <c r="AB37" i="1"/>
  <c r="AC37" i="1"/>
  <c r="AJ37" i="1" s="1"/>
  <c r="V65" i="1"/>
  <c r="AB65" i="1"/>
  <c r="AC65" i="1"/>
  <c r="AC82" i="1"/>
  <c r="AJ82" i="1" s="1"/>
  <c r="V82" i="1"/>
  <c r="X82" i="1" s="1"/>
  <c r="AB82" i="1"/>
  <c r="AM82" i="1" s="1"/>
  <c r="V87" i="1"/>
  <c r="AC87" i="1"/>
  <c r="AB87" i="1"/>
  <c r="AB58" i="1"/>
  <c r="AC58" i="1"/>
  <c r="AJ58" i="1" s="1"/>
  <c r="V58" i="1"/>
  <c r="X58" i="1" s="1"/>
  <c r="V75" i="1"/>
  <c r="AC75" i="1"/>
  <c r="AB75" i="1"/>
  <c r="V81" i="1"/>
  <c r="X81" i="1" s="1"/>
  <c r="AB81" i="1"/>
  <c r="AM81" i="1" s="1"/>
  <c r="AC81" i="1"/>
  <c r="AJ81" i="1" s="1"/>
  <c r="AC56" i="1"/>
  <c r="AJ56" i="1" s="1"/>
  <c r="AB56" i="1"/>
  <c r="V56" i="1"/>
  <c r="X56" i="1" s="1"/>
  <c r="AB85" i="1"/>
  <c r="AB46" i="1"/>
  <c r="V46" i="1"/>
  <c r="V89" i="1"/>
  <c r="AC89" i="1"/>
  <c r="AB89" i="1"/>
  <c r="AB28" i="1"/>
  <c r="AC28" i="1"/>
  <c r="V28" i="1"/>
  <c r="AB24" i="1"/>
  <c r="V24" i="1"/>
  <c r="AC24" i="1"/>
  <c r="AD16" i="1"/>
  <c r="AD18" i="1"/>
  <c r="AL18" i="1" s="1"/>
  <c r="AD22" i="1"/>
  <c r="AD37" i="1"/>
  <c r="AD49" i="1"/>
  <c r="AD74" i="1"/>
  <c r="AD69" i="1"/>
  <c r="AD21" i="1"/>
  <c r="AD34" i="1"/>
  <c r="AD87" i="1"/>
  <c r="AD47" i="1"/>
  <c r="AD65" i="1"/>
  <c r="AD67" i="1"/>
  <c r="AD61" i="1"/>
  <c r="AD53" i="1"/>
  <c r="AD27" i="1"/>
  <c r="AD20" i="1"/>
  <c r="AD54" i="1"/>
  <c r="AD84" i="1"/>
  <c r="AD79" i="1"/>
  <c r="AD91" i="1"/>
  <c r="AD39" i="1"/>
  <c r="AD44" i="1"/>
  <c r="AD56" i="1"/>
  <c r="AD33" i="1"/>
  <c r="AD43" i="1"/>
  <c r="AD75" i="1"/>
  <c r="AD77" i="1"/>
  <c r="AD60" i="1"/>
  <c r="AD32" i="1"/>
  <c r="AD62" i="1"/>
  <c r="AD80" i="1"/>
  <c r="AD19" i="1"/>
  <c r="AD48" i="1"/>
  <c r="AD14" i="1"/>
  <c r="AD45" i="1"/>
  <c r="V11" i="1"/>
  <c r="X11" i="1" s="1"/>
  <c r="AB11" i="1"/>
  <c r="AC11" i="1"/>
  <c r="V9" i="1"/>
  <c r="X9" i="1" s="1"/>
  <c r="AC9" i="1"/>
  <c r="AB9" i="1"/>
  <c r="V12" i="1"/>
  <c r="X12" i="1" s="1"/>
  <c r="AC12" i="1"/>
  <c r="AB12" i="1"/>
  <c r="V10" i="1"/>
  <c r="X10" i="1" s="1"/>
  <c r="AB10" i="1"/>
  <c r="AC10" i="1"/>
  <c r="V13" i="1"/>
  <c r="X13" i="1" s="1"/>
  <c r="AC13" i="1"/>
  <c r="AB13" i="1"/>
  <c r="V8" i="1"/>
  <c r="X8" i="1" s="1"/>
  <c r="AC8" i="1"/>
  <c r="AB8" i="1"/>
  <c r="E11" i="2"/>
  <c r="G11" i="2" s="1"/>
  <c r="E12" i="2"/>
  <c r="G12" i="2" s="1"/>
  <c r="E13" i="2"/>
  <c r="E14" i="2" s="1"/>
  <c r="E10" i="2"/>
  <c r="G10" i="2"/>
  <c r="AJ14" i="1" l="1"/>
  <c r="AJ76" i="1"/>
  <c r="AJ88" i="1"/>
  <c r="AJ47" i="1"/>
  <c r="AJ75" i="1"/>
  <c r="AJ20" i="1"/>
  <c r="W85" i="1"/>
  <c r="X85" i="1" s="1"/>
  <c r="AM85" i="1" s="1"/>
  <c r="W48" i="1"/>
  <c r="X48" i="1" s="1"/>
  <c r="W75" i="1"/>
  <c r="X75" i="1" s="1"/>
  <c r="AM75" i="1" s="1"/>
  <c r="W80" i="1"/>
  <c r="X80" i="1" s="1"/>
  <c r="W66" i="1"/>
  <c r="X66" i="1" s="1"/>
  <c r="X65" i="1"/>
  <c r="AO65" i="1" s="1"/>
  <c r="W15" i="1"/>
  <c r="X15" i="1" s="1"/>
  <c r="X30" i="1"/>
  <c r="W79" i="1"/>
  <c r="W89" i="1"/>
  <c r="X89" i="1" s="1"/>
  <c r="AM89" i="1" s="1"/>
  <c r="AI43" i="1"/>
  <c r="AJ43" i="1" s="1"/>
  <c r="W43" i="1"/>
  <c r="X43" i="1" s="1"/>
  <c r="AM43" i="1" s="1"/>
  <c r="AI68" i="1"/>
  <c r="AJ68" i="1" s="1"/>
  <c r="W68" i="1"/>
  <c r="X68" i="1" s="1"/>
  <c r="AM68" i="1" s="1"/>
  <c r="AI45" i="1"/>
  <c r="W45" i="1"/>
  <c r="X45" i="1" s="1"/>
  <c r="AM45" i="1" s="1"/>
  <c r="W78" i="1"/>
  <c r="X78" i="1" s="1"/>
  <c r="X79" i="1"/>
  <c r="AN79" i="1" s="1"/>
  <c r="W31" i="1"/>
  <c r="X31" i="1" s="1"/>
  <c r="W86" i="1"/>
  <c r="X86" i="1" s="1"/>
  <c r="AI69" i="1"/>
  <c r="AJ69" i="1" s="1"/>
  <c r="W69" i="1"/>
  <c r="X69" i="1" s="1"/>
  <c r="AI42" i="1"/>
  <c r="AJ42" i="1" s="1"/>
  <c r="W42" i="1"/>
  <c r="X42" i="1" s="1"/>
  <c r="AI46" i="1"/>
  <c r="AJ46" i="1" s="1"/>
  <c r="W46" i="1"/>
  <c r="X46" i="1" s="1"/>
  <c r="AM46" i="1" s="1"/>
  <c r="AI32" i="1"/>
  <c r="AJ32" i="1" s="1"/>
  <c r="W32" i="1"/>
  <c r="X32" i="1" s="1"/>
  <c r="W90" i="1"/>
  <c r="X90" i="1" s="1"/>
  <c r="AM90" i="1" s="1"/>
  <c r="W63" i="1"/>
  <c r="X63" i="1" s="1"/>
  <c r="AM63" i="1" s="1"/>
  <c r="W76" i="1"/>
  <c r="X76" i="1" s="1"/>
  <c r="AI22" i="1"/>
  <c r="AJ22" i="1" s="1"/>
  <c r="W22" i="1"/>
  <c r="X22" i="1" s="1"/>
  <c r="AN22" i="1" s="1"/>
  <c r="AI70" i="1"/>
  <c r="AJ70" i="1" s="1"/>
  <c r="W70" i="1"/>
  <c r="X70" i="1" s="1"/>
  <c r="AM70" i="1" s="1"/>
  <c r="AI25" i="1"/>
  <c r="AJ25" i="1" s="1"/>
  <c r="W25" i="1"/>
  <c r="X25" i="1" s="1"/>
  <c r="AM25" i="1" s="1"/>
  <c r="W88" i="1"/>
  <c r="X88" i="1" s="1"/>
  <c r="W87" i="1"/>
  <c r="X87" i="1" s="1"/>
  <c r="AM87" i="1" s="1"/>
  <c r="AI41" i="1"/>
  <c r="AJ41" i="1" s="1"/>
  <c r="W41" i="1"/>
  <c r="X41" i="1" s="1"/>
  <c r="AM41" i="1" s="1"/>
  <c r="AJ65" i="1"/>
  <c r="AI30" i="1"/>
  <c r="AJ30" i="1" s="1"/>
  <c r="W62" i="1"/>
  <c r="X62" i="1" s="1"/>
  <c r="AM62" i="1" s="1"/>
  <c r="AI24" i="1"/>
  <c r="AJ24" i="1" s="1"/>
  <c r="W24" i="1"/>
  <c r="X24" i="1" s="1"/>
  <c r="AI33" i="1"/>
  <c r="AJ33" i="1" s="1"/>
  <c r="W33" i="1"/>
  <c r="X33" i="1" s="1"/>
  <c r="AM33" i="1" s="1"/>
  <c r="AI28" i="1"/>
  <c r="AJ28" i="1" s="1"/>
  <c r="W28" i="1"/>
  <c r="X28" i="1" s="1"/>
  <c r="AI44" i="1"/>
  <c r="AJ44" i="1" s="1"/>
  <c r="W44" i="1"/>
  <c r="X44" i="1" s="1"/>
  <c r="AI26" i="1"/>
  <c r="AJ26" i="1" s="1"/>
  <c r="W26" i="1"/>
  <c r="X26" i="1" s="1"/>
  <c r="AM26" i="1" s="1"/>
  <c r="W29" i="1"/>
  <c r="X29" i="1" s="1"/>
  <c r="AM29" i="1" s="1"/>
  <c r="W19" i="1"/>
  <c r="X19" i="1" s="1"/>
  <c r="AN19" i="1" s="1"/>
  <c r="W77" i="1"/>
  <c r="X77" i="1" s="1"/>
  <c r="AN77" i="1" s="1"/>
  <c r="W47" i="1"/>
  <c r="X47" i="1" s="1"/>
  <c r="AM47" i="1" s="1"/>
  <c r="AI34" i="1"/>
  <c r="AJ34" i="1" s="1"/>
  <c r="W34" i="1"/>
  <c r="X34" i="1" s="1"/>
  <c r="AN34" i="1" s="1"/>
  <c r="AI23" i="1"/>
  <c r="AJ23" i="1" s="1"/>
  <c r="W23" i="1"/>
  <c r="X23" i="1" s="1"/>
  <c r="W67" i="1"/>
  <c r="X67" i="1" s="1"/>
  <c r="AO67" i="1" s="1"/>
  <c r="W20" i="1"/>
  <c r="X20" i="1" s="1"/>
  <c r="AM20" i="1" s="1"/>
  <c r="W64" i="1"/>
  <c r="X64" i="1" s="1"/>
  <c r="AM64" i="1" s="1"/>
  <c r="AI27" i="1"/>
  <c r="AJ27" i="1" s="1"/>
  <c r="W27" i="1"/>
  <c r="X27" i="1" s="1"/>
  <c r="AM27" i="1" s="1"/>
  <c r="W21" i="1"/>
  <c r="X21" i="1" s="1"/>
  <c r="AM21" i="1" s="1"/>
  <c r="W14" i="1"/>
  <c r="AJ78" i="1"/>
  <c r="AJ45" i="1"/>
  <c r="AM30" i="1"/>
  <c r="AJ8" i="1"/>
  <c r="AJ86" i="1"/>
  <c r="AJ89" i="1"/>
  <c r="AJ80" i="1"/>
  <c r="AJ48" i="1"/>
  <c r="AJ21" i="1"/>
  <c r="AJ77" i="1"/>
  <c r="AJ90" i="1"/>
  <c r="AJ31" i="1"/>
  <c r="AJ87" i="1"/>
  <c r="AJ79" i="1"/>
  <c r="AJ66" i="1"/>
  <c r="AJ19" i="1"/>
  <c r="AJ15" i="1"/>
  <c r="AM8" i="1"/>
  <c r="AJ64" i="1"/>
  <c r="AK8" i="1"/>
  <c r="AJ63" i="1"/>
  <c r="AJ67" i="1"/>
  <c r="AL19" i="1"/>
  <c r="AD30" i="1"/>
  <c r="AD88" i="1"/>
  <c r="AD40" i="1"/>
  <c r="AL40" i="1" s="1"/>
  <c r="AD50" i="1"/>
  <c r="AD35" i="1"/>
  <c r="AD51" i="1"/>
  <c r="AD86" i="1"/>
  <c r="AD52" i="1"/>
  <c r="AD81" i="1"/>
  <c r="AK81" i="1" s="1"/>
  <c r="AD78" i="1"/>
  <c r="AL78" i="1" s="1"/>
  <c r="AD41" i="1"/>
  <c r="AD72" i="1"/>
  <c r="AN72" i="1" s="1"/>
  <c r="AJ62" i="1"/>
  <c r="AD90" i="1"/>
  <c r="AL90" i="1" s="1"/>
  <c r="AD68" i="1"/>
  <c r="AD83" i="1"/>
  <c r="AD59" i="1"/>
  <c r="AD66" i="1"/>
  <c r="AD82" i="1"/>
  <c r="AK82" i="1" s="1"/>
  <c r="AD29" i="1"/>
  <c r="AK29" i="1" s="1"/>
  <c r="AD64" i="1"/>
  <c r="AD73" i="1"/>
  <c r="AK73" i="1" s="1"/>
  <c r="AD17" i="1"/>
  <c r="AK17" i="1" s="1"/>
  <c r="AD85" i="1"/>
  <c r="AD24" i="1"/>
  <c r="AD46" i="1"/>
  <c r="AD89" i="1"/>
  <c r="AD36" i="1"/>
  <c r="AD70" i="1"/>
  <c r="AD76" i="1"/>
  <c r="AD23" i="1"/>
  <c r="AD58" i="1"/>
  <c r="AK58" i="1" s="1"/>
  <c r="AD63" i="1"/>
  <c r="AL63" i="1" s="1"/>
  <c r="AD25" i="1"/>
  <c r="AD38" i="1"/>
  <c r="AD31" i="1"/>
  <c r="AK31" i="1" s="1"/>
  <c r="AD15" i="1"/>
  <c r="AK15" i="1" s="1"/>
  <c r="AD57" i="1"/>
  <c r="AD42" i="1"/>
  <c r="AD55" i="1"/>
  <c r="AD28" i="1"/>
  <c r="AM18" i="1"/>
  <c r="AO16" i="1"/>
  <c r="AO17" i="1"/>
  <c r="AK74" i="1"/>
  <c r="AL74" i="1"/>
  <c r="AN74" i="1"/>
  <c r="AO74" i="1"/>
  <c r="AL72" i="1"/>
  <c r="AO72" i="1"/>
  <c r="AM23" i="1"/>
  <c r="AM51" i="1"/>
  <c r="AM16" i="1"/>
  <c r="AM15" i="1"/>
  <c r="AM17" i="1"/>
  <c r="AL17" i="1"/>
  <c r="AK16" i="1"/>
  <c r="AL16" i="1"/>
  <c r="AN18" i="1"/>
  <c r="AO18" i="1"/>
  <c r="AL73" i="1"/>
  <c r="AN73" i="1"/>
  <c r="AO73" i="1"/>
  <c r="AM24" i="1"/>
  <c r="AD71" i="1"/>
  <c r="AM61" i="1"/>
  <c r="AM56" i="1"/>
  <c r="AM69" i="1"/>
  <c r="AM39" i="1"/>
  <c r="AM52" i="1"/>
  <c r="AM42" i="1"/>
  <c r="AM86" i="1"/>
  <c r="AM55" i="1"/>
  <c r="AM28" i="1"/>
  <c r="AM58" i="1"/>
  <c r="AM32" i="1"/>
  <c r="AN83" i="1"/>
  <c r="AN17" i="1"/>
  <c r="AM59" i="1"/>
  <c r="AM35" i="1"/>
  <c r="AM37" i="1"/>
  <c r="AM76" i="1"/>
  <c r="AM53" i="1"/>
  <c r="AM40" i="1"/>
  <c r="AM57" i="1"/>
  <c r="AM66" i="1"/>
  <c r="AM49" i="1"/>
  <c r="AN16" i="1"/>
  <c r="AM50" i="1"/>
  <c r="AM38" i="1"/>
  <c r="AM54" i="1"/>
  <c r="AJ29" i="1"/>
  <c r="AM31" i="1"/>
  <c r="AN82" i="1"/>
  <c r="AN81" i="1"/>
  <c r="V91" i="1"/>
  <c r="X91" i="1" s="1"/>
  <c r="AN84" i="1"/>
  <c r="AK18" i="1"/>
  <c r="AM78" i="1"/>
  <c r="AM88" i="1"/>
  <c r="AM60" i="1"/>
  <c r="AN43" i="1"/>
  <c r="AK53" i="1"/>
  <c r="AL53" i="1"/>
  <c r="AO53" i="1"/>
  <c r="AN53" i="1"/>
  <c r="AL69" i="1"/>
  <c r="AN69" i="1"/>
  <c r="AL33" i="1"/>
  <c r="AK39" i="1"/>
  <c r="AL39" i="1"/>
  <c r="AO39" i="1"/>
  <c r="AN39" i="1"/>
  <c r="AK54" i="1"/>
  <c r="AL54" i="1"/>
  <c r="AO54" i="1"/>
  <c r="AN54" i="1"/>
  <c r="AK61" i="1"/>
  <c r="AL61" i="1"/>
  <c r="AN61" i="1"/>
  <c r="AO61" i="1"/>
  <c r="AK47" i="1"/>
  <c r="AL47" i="1"/>
  <c r="AK37" i="1"/>
  <c r="AL37" i="1"/>
  <c r="AO37" i="1"/>
  <c r="AN37" i="1"/>
  <c r="AL32" i="1"/>
  <c r="AK44" i="1"/>
  <c r="AL44" i="1"/>
  <c r="AK45" i="1"/>
  <c r="AL45" i="1"/>
  <c r="AK80" i="1"/>
  <c r="AL80" i="1"/>
  <c r="AK60" i="1"/>
  <c r="AL60" i="1"/>
  <c r="AO60" i="1"/>
  <c r="AN60" i="1"/>
  <c r="AN40" i="1"/>
  <c r="AL91" i="1"/>
  <c r="H24" i="5" s="1"/>
  <c r="AK91" i="1"/>
  <c r="AK67" i="1"/>
  <c r="AL67" i="1"/>
  <c r="AN67" i="1"/>
  <c r="AK87" i="1"/>
  <c r="AO87" i="1"/>
  <c r="AL87" i="1"/>
  <c r="AN26" i="1"/>
  <c r="AK48" i="1"/>
  <c r="AL48" i="1"/>
  <c r="AK19" i="1"/>
  <c r="AL22" i="1"/>
  <c r="AK62" i="1"/>
  <c r="AL62" i="1"/>
  <c r="AO62" i="1"/>
  <c r="AK77" i="1"/>
  <c r="AL77" i="1"/>
  <c r="AK56" i="1"/>
  <c r="AL56" i="1"/>
  <c r="AO56" i="1"/>
  <c r="AN56" i="1"/>
  <c r="AK79" i="1"/>
  <c r="AL79" i="1"/>
  <c r="AO79" i="1"/>
  <c r="AK20" i="1"/>
  <c r="AL20" i="1"/>
  <c r="AN20" i="1"/>
  <c r="AK34" i="1"/>
  <c r="AL34" i="1"/>
  <c r="AK14" i="1"/>
  <c r="AL14" i="1"/>
  <c r="AK88" i="1"/>
  <c r="AL88" i="1"/>
  <c r="AK75" i="1"/>
  <c r="AL75" i="1"/>
  <c r="AN75" i="1"/>
  <c r="AO75" i="1"/>
  <c r="AK84" i="1"/>
  <c r="AL27" i="1"/>
  <c r="AN27" i="1"/>
  <c r="AK65" i="1"/>
  <c r="AL65" i="1"/>
  <c r="AK21" i="1"/>
  <c r="AL21" i="1"/>
  <c r="AO21" i="1"/>
  <c r="AN21" i="1"/>
  <c r="AK76" i="1"/>
  <c r="AL76" i="1"/>
  <c r="AO76" i="1"/>
  <c r="AK49" i="1"/>
  <c r="AL49" i="1"/>
  <c r="AO49" i="1"/>
  <c r="AN49" i="1"/>
  <c r="E15" i="2"/>
  <c r="G14" i="2"/>
  <c r="G13" i="2"/>
  <c r="AK27" i="1" l="1"/>
  <c r="AO47" i="1"/>
  <c r="AM67" i="1"/>
  <c r="AO89" i="1"/>
  <c r="AN47" i="1"/>
  <c r="AM79" i="1"/>
  <c r="AK42" i="1"/>
  <c r="AO27" i="1"/>
  <c r="AN76" i="1"/>
  <c r="AO44" i="1"/>
  <c r="AO22" i="1"/>
  <c r="AO77" i="1"/>
  <c r="AO69" i="1"/>
  <c r="AM44" i="1"/>
  <c r="AM34" i="1"/>
  <c r="AL26" i="1"/>
  <c r="H14" i="5" s="1"/>
  <c r="AK69" i="1"/>
  <c r="AM65" i="1"/>
  <c r="AK72" i="1"/>
  <c r="AO66" i="1"/>
  <c r="AO64" i="1"/>
  <c r="AO23" i="1"/>
  <c r="AN65" i="1"/>
  <c r="AO90" i="1"/>
  <c r="AM77" i="1"/>
  <c r="AK26" i="1"/>
  <c r="AN44" i="1"/>
  <c r="AK23" i="1"/>
  <c r="AL68" i="1"/>
  <c r="AO86" i="1"/>
  <c r="AL23" i="1"/>
  <c r="AO34" i="1"/>
  <c r="J12" i="5" s="1"/>
  <c r="AN62" i="1"/>
  <c r="AM80" i="1"/>
  <c r="AO80" i="1"/>
  <c r="AN48" i="1"/>
  <c r="AO48" i="1"/>
  <c r="AM48" i="1"/>
  <c r="AK32" i="1"/>
  <c r="AO43" i="1"/>
  <c r="AM22" i="1"/>
  <c r="AK22" i="1"/>
  <c r="AL43" i="1"/>
  <c r="AN64" i="1"/>
  <c r="AO26" i="1"/>
  <c r="AK43" i="1"/>
  <c r="AO32" i="1"/>
  <c r="AN87" i="1"/>
  <c r="AN80" i="1"/>
  <c r="AK33" i="1"/>
  <c r="AO85" i="1"/>
  <c r="AO88" i="1"/>
  <c r="AK30" i="1"/>
  <c r="AO20" i="1"/>
  <c r="AN45" i="1"/>
  <c r="AN32" i="1"/>
  <c r="AN33" i="1"/>
  <c r="AM19" i="1"/>
  <c r="AO19" i="1"/>
  <c r="X14" i="1"/>
  <c r="W92" i="1"/>
  <c r="AO45" i="1"/>
  <c r="AO33" i="1"/>
  <c r="AL70" i="1"/>
  <c r="AK41" i="1"/>
  <c r="AO51" i="1"/>
  <c r="AO59" i="1"/>
  <c r="J21" i="5" s="1"/>
  <c r="AL50" i="1"/>
  <c r="AO55" i="1"/>
  <c r="AL52" i="1"/>
  <c r="H17" i="5" s="1"/>
  <c r="AK71" i="1"/>
  <c r="AK57" i="1"/>
  <c r="AN8" i="1"/>
  <c r="AL15" i="1"/>
  <c r="H2" i="5" s="1"/>
  <c r="AN31" i="1"/>
  <c r="AO38" i="1"/>
  <c r="AN36" i="1"/>
  <c r="AM71" i="1"/>
  <c r="AL25" i="1"/>
  <c r="AK46" i="1"/>
  <c r="AK35" i="1"/>
  <c r="AM91" i="1"/>
  <c r="AO28" i="1"/>
  <c r="AK24" i="1"/>
  <c r="AL36" i="1"/>
  <c r="AO30" i="1"/>
  <c r="AN23" i="1"/>
  <c r="AO25" i="1"/>
  <c r="AO31" i="1"/>
  <c r="AK70" i="1"/>
  <c r="AN90" i="1"/>
  <c r="AN30" i="1"/>
  <c r="AN24" i="1"/>
  <c r="AO42" i="1"/>
  <c r="AN86" i="1"/>
  <c r="AN66" i="1"/>
  <c r="AO24" i="1"/>
  <c r="J16" i="5" s="1"/>
  <c r="AL86" i="1"/>
  <c r="AO68" i="1"/>
  <c r="AL24" i="1"/>
  <c r="H16" i="5" s="1"/>
  <c r="AN35" i="1"/>
  <c r="AN59" i="1"/>
  <c r="AN89" i="1"/>
  <c r="AO35" i="1"/>
  <c r="AN57" i="1"/>
  <c r="AN41" i="1"/>
  <c r="AL66" i="1"/>
  <c r="AN28" i="1"/>
  <c r="AL35" i="1"/>
  <c r="AL28" i="1"/>
  <c r="AL59" i="1"/>
  <c r="H21" i="5" s="1"/>
  <c r="AK59" i="1"/>
  <c r="AO46" i="1"/>
  <c r="J7" i="5" s="1"/>
  <c r="AK28" i="1"/>
  <c r="AO50" i="1"/>
  <c r="AL46" i="1"/>
  <c r="AO78" i="1"/>
  <c r="J11" i="5" s="1"/>
  <c r="AO63" i="1"/>
  <c r="J20" i="5" s="1"/>
  <c r="V92" i="1"/>
  <c r="AN50" i="1"/>
  <c r="AK78" i="1"/>
  <c r="AK55" i="1"/>
  <c r="AK63" i="1"/>
  <c r="AK50" i="1"/>
  <c r="AN25" i="1"/>
  <c r="AK40" i="1"/>
  <c r="AK52" i="1"/>
  <c r="AK85" i="1"/>
  <c r="AL55" i="1"/>
  <c r="AO58" i="1"/>
  <c r="AK83" i="1"/>
  <c r="AK25" i="1"/>
  <c r="AN63" i="1"/>
  <c r="AN58" i="1"/>
  <c r="AK86" i="1"/>
  <c r="AL58" i="1"/>
  <c r="AL85" i="1"/>
  <c r="AK66" i="1"/>
  <c r="AN68" i="1"/>
  <c r="AO40" i="1"/>
  <c r="AN52" i="1"/>
  <c r="AN85" i="1"/>
  <c r="AO52" i="1"/>
  <c r="J17" i="5" s="1"/>
  <c r="AN88" i="1"/>
  <c r="AK68" i="1"/>
  <c r="AN46" i="1"/>
  <c r="AN42" i="1"/>
  <c r="AN51" i="1"/>
  <c r="AN78" i="1"/>
  <c r="AL38" i="1"/>
  <c r="AL51" i="1"/>
  <c r="AL30" i="1"/>
  <c r="AL42" i="1"/>
  <c r="AN38" i="1"/>
  <c r="AL89" i="1"/>
  <c r="H22" i="5" s="1"/>
  <c r="AK89" i="1"/>
  <c r="AK38" i="1"/>
  <c r="AK51" i="1"/>
  <c r="AO41" i="1"/>
  <c r="AO57" i="1"/>
  <c r="H15" i="5"/>
  <c r="AL41" i="1"/>
  <c r="AK90" i="1"/>
  <c r="AL57" i="1"/>
  <c r="AL64" i="1"/>
  <c r="AL31" i="1"/>
  <c r="J4" i="5"/>
  <c r="AO36" i="1"/>
  <c r="AO29" i="1"/>
  <c r="AK64" i="1"/>
  <c r="AK36" i="1"/>
  <c r="AN29" i="1"/>
  <c r="AN55" i="1"/>
  <c r="AO70" i="1"/>
  <c r="AO91" i="1"/>
  <c r="J24" i="5" s="1"/>
  <c r="AL29" i="1"/>
  <c r="AN15" i="1"/>
  <c r="AN70" i="1"/>
  <c r="AO15" i="1"/>
  <c r="AO71" i="1"/>
  <c r="J8" i="5" s="1"/>
  <c r="J19" i="5"/>
  <c r="AN71" i="1"/>
  <c r="AL71" i="1"/>
  <c r="H8" i="5" s="1"/>
  <c r="H12" i="5"/>
  <c r="H6" i="5"/>
  <c r="H5" i="5"/>
  <c r="J5" i="5"/>
  <c r="J9" i="5"/>
  <c r="H9" i="5"/>
  <c r="H7" i="5"/>
  <c r="J10" i="5"/>
  <c r="J22" i="5"/>
  <c r="J15" i="5"/>
  <c r="H10" i="5"/>
  <c r="H11" i="5"/>
  <c r="AN91" i="1"/>
  <c r="AB92" i="1"/>
  <c r="AC92" i="1" s="1"/>
  <c r="AI92" i="1"/>
  <c r="E16" i="2"/>
  <c r="G15" i="2"/>
  <c r="J3" i="5" l="1"/>
  <c r="J14" i="5"/>
  <c r="AO14" i="1"/>
  <c r="AM14" i="1"/>
  <c r="AN14" i="1"/>
  <c r="J2" i="5"/>
  <c r="H23" i="5"/>
  <c r="J18" i="5"/>
  <c r="J23" i="5"/>
  <c r="J13" i="5"/>
  <c r="AL92" i="1"/>
  <c r="H20" i="5"/>
  <c r="H19" i="5"/>
  <c r="H18" i="5"/>
  <c r="J6" i="5"/>
  <c r="H3" i="5"/>
  <c r="H13" i="5"/>
  <c r="AK92" i="1"/>
  <c r="AJ92" i="1"/>
  <c r="E17" i="2"/>
  <c r="G16" i="2"/>
  <c r="G17" i="2" l="1"/>
  <c r="E18" i="2"/>
  <c r="G18" i="2" l="1"/>
  <c r="E19" i="2"/>
  <c r="G19" i="2" l="1"/>
  <c r="E20" i="2"/>
  <c r="G20" i="2" l="1"/>
  <c r="E21" i="2"/>
  <c r="E22" i="2" l="1"/>
  <c r="G21" i="2"/>
  <c r="E23" i="2" l="1"/>
  <c r="G22" i="2"/>
  <c r="G23" i="2" l="1"/>
  <c r="E24" i="2"/>
  <c r="G24" i="2" l="1"/>
  <c r="E25" i="2"/>
  <c r="G25" i="2" l="1"/>
  <c r="E26" i="2"/>
  <c r="G26" i="2" l="1"/>
  <c r="E27" i="2"/>
  <c r="E28" i="2" l="1"/>
  <c r="G27" i="2"/>
  <c r="E29" i="2" l="1"/>
  <c r="G28" i="2"/>
  <c r="E30" i="2" l="1"/>
  <c r="G29" i="2"/>
  <c r="E31" i="2" l="1"/>
  <c r="G30" i="2"/>
  <c r="E32" i="2" l="1"/>
  <c r="G31" i="2"/>
  <c r="E33" i="2" l="1"/>
  <c r="G32" i="2"/>
  <c r="G33" i="2" l="1"/>
  <c r="E34" i="2"/>
  <c r="G34" i="2" l="1"/>
  <c r="E35" i="2"/>
  <c r="G35" i="2" l="1"/>
  <c r="E36" i="2"/>
  <c r="E37" i="2" l="1"/>
  <c r="G36" i="2"/>
  <c r="E38" i="2" l="1"/>
  <c r="G37" i="2"/>
  <c r="E39" i="2" l="1"/>
  <c r="G38" i="2"/>
  <c r="E40" i="2" l="1"/>
  <c r="G39" i="2"/>
  <c r="G40" i="2" l="1"/>
  <c r="E41" i="2"/>
  <c r="G41" i="2" l="1"/>
  <c r="E42" i="2"/>
  <c r="G42" i="2" l="1"/>
  <c r="E43" i="2"/>
  <c r="E44" i="2" l="1"/>
  <c r="G43" i="2"/>
  <c r="G44" i="2" l="1"/>
  <c r="E45" i="2"/>
  <c r="E46" i="2" l="1"/>
  <c r="G45" i="2"/>
  <c r="E47" i="2" l="1"/>
  <c r="G46" i="2"/>
  <c r="E48" i="2" l="1"/>
  <c r="G47" i="2"/>
  <c r="E49" i="2" l="1"/>
  <c r="G48" i="2"/>
  <c r="G49" i="2" l="1"/>
  <c r="E50" i="2"/>
  <c r="X92" i="1" l="1"/>
  <c r="G50" i="2"/>
  <c r="E51" i="2"/>
  <c r="AJ11" i="1"/>
  <c r="AM10" i="1"/>
  <c r="AJ12" i="1"/>
  <c r="AJ10" i="1"/>
  <c r="AJ13" i="1"/>
  <c r="AJ9" i="1"/>
  <c r="V93" i="1" l="1"/>
  <c r="AO92" i="1"/>
  <c r="G51" i="2"/>
  <c r="E52" i="2"/>
  <c r="AM12" i="1"/>
  <c r="AM9" i="1"/>
  <c r="AM11" i="1"/>
  <c r="AM13" i="1"/>
  <c r="AD9" i="1"/>
  <c r="AD12" i="1"/>
  <c r="AD11" i="1"/>
  <c r="AD13" i="1"/>
  <c r="AD10" i="1"/>
  <c r="AN92" i="1" l="1"/>
  <c r="AM92" i="1"/>
  <c r="AL10" i="1"/>
  <c r="AO10" i="1"/>
  <c r="AL11" i="1"/>
  <c r="AO11" i="1"/>
  <c r="AL13" i="1"/>
  <c r="AO13" i="1"/>
  <c r="AL12" i="1"/>
  <c r="AO12" i="1"/>
  <c r="AL9" i="1"/>
  <c r="AO9" i="1"/>
  <c r="E53" i="2"/>
  <c r="G52" i="2"/>
  <c r="AN9" i="1"/>
  <c r="AK9" i="1"/>
  <c r="AK13" i="1"/>
  <c r="AN13" i="1"/>
  <c r="AK10" i="1"/>
  <c r="AN10" i="1"/>
  <c r="AK11" i="1"/>
  <c r="AN11" i="1"/>
  <c r="AK12" i="1"/>
  <c r="AN12" i="1"/>
  <c r="E54" i="2" l="1"/>
  <c r="G53" i="2"/>
  <c r="G54" i="2" l="1"/>
  <c r="L70" i="6" l="1"/>
  <c r="AI70" i="6" s="1"/>
  <c r="R42" i="6"/>
  <c r="AB42" i="6" s="1"/>
  <c r="R70" i="6"/>
  <c r="AC70" i="6" s="1"/>
  <c r="R69" i="6"/>
  <c r="AB69" i="6" s="1"/>
  <c r="R68" i="6"/>
  <c r="AB68" i="6" s="1"/>
  <c r="R41" i="6"/>
  <c r="AD41" i="6" s="1"/>
  <c r="R43" i="6"/>
  <c r="AB43" i="6" s="1"/>
  <c r="W70" i="6" l="1"/>
  <c r="X70" i="6" s="1"/>
  <c r="AD69" i="6"/>
  <c r="AC43" i="6"/>
  <c r="AD43" i="6"/>
  <c r="AC68" i="6"/>
  <c r="L68" i="6"/>
  <c r="AJ70" i="6"/>
  <c r="AC42" i="6"/>
  <c r="AB41" i="6"/>
  <c r="AB70" i="6"/>
  <c r="AM70" i="6" s="1"/>
  <c r="L42" i="6"/>
  <c r="AD42" i="6"/>
  <c r="AC69" i="6"/>
  <c r="L69" i="6"/>
  <c r="AD68" i="6"/>
  <c r="AD70" i="6"/>
  <c r="AK70" i="6" s="1"/>
  <c r="L43" i="6"/>
  <c r="AC41" i="6"/>
  <c r="L41" i="6"/>
  <c r="AN70" i="6" l="1"/>
  <c r="W68" i="6"/>
  <c r="X68" i="6" s="1"/>
  <c r="AM68" i="6" s="1"/>
  <c r="AI68" i="6"/>
  <c r="AJ68" i="6" s="1"/>
  <c r="AI42" i="6"/>
  <c r="AK42" i="6" s="1"/>
  <c r="W42" i="6"/>
  <c r="X42" i="6" s="1"/>
  <c r="W69" i="6"/>
  <c r="X69" i="6" s="1"/>
  <c r="AI69" i="6"/>
  <c r="AL70" i="6"/>
  <c r="AO70" i="6"/>
  <c r="W43" i="6"/>
  <c r="X43" i="6" s="1"/>
  <c r="AI43" i="6"/>
  <c r="AB92" i="6"/>
  <c r="AI41" i="6"/>
  <c r="W41" i="6"/>
  <c r="AN68" i="6" l="1"/>
  <c r="AK68" i="6"/>
  <c r="AO68" i="6"/>
  <c r="AL68" i="6"/>
  <c r="AL41" i="6"/>
  <c r="AI92" i="6"/>
  <c r="AJ41" i="6"/>
  <c r="AK41" i="6"/>
  <c r="AN69" i="6"/>
  <c r="AM69" i="6"/>
  <c r="W92" i="6"/>
  <c r="X41" i="6"/>
  <c r="AO41" i="6" s="1"/>
  <c r="AC92" i="6"/>
  <c r="AN42" i="6"/>
  <c r="AM42" i="6"/>
  <c r="AO69" i="6"/>
  <c r="AL69" i="6"/>
  <c r="AJ69" i="6"/>
  <c r="AK69" i="6"/>
  <c r="AJ43" i="6"/>
  <c r="AK43" i="6"/>
  <c r="AL43" i="6"/>
  <c r="AO43" i="6"/>
  <c r="AO42" i="6"/>
  <c r="AL42" i="6"/>
  <c r="AJ42" i="6"/>
  <c r="AN43" i="6"/>
  <c r="AM43" i="6"/>
  <c r="AJ92" i="6" l="1"/>
  <c r="AL92" i="6"/>
  <c r="AK92" i="6"/>
  <c r="X92" i="6"/>
  <c r="AN41" i="6"/>
  <c r="AM41" i="6"/>
  <c r="AN92" i="6" l="1"/>
  <c r="AM92" i="6"/>
  <c r="AO92" i="6"/>
  <c r="V93" i="6"/>
  <c r="K75" i="1" l="1"/>
  <c r="K78" i="1" s="1"/>
  <c r="K76" i="1"/>
  <c r="K79" i="1" s="1"/>
  <c r="K77" i="1"/>
  <c r="K80" i="1" s="1"/>
</calcChain>
</file>

<file path=xl/sharedStrings.xml><?xml version="1.0" encoding="utf-8"?>
<sst xmlns="http://schemas.openxmlformats.org/spreadsheetml/2006/main" count="1848" uniqueCount="347">
  <si>
    <t xml:space="preserve">PROGRAM YEAR </t>
  </si>
  <si>
    <t xml:space="preserve"> CASCADE NATURAL GAS CORPORATION</t>
  </si>
  <si>
    <t xml:space="preserve"> RESIDENTIAL Program Participant Cost Effectiveness</t>
  </si>
  <si>
    <t>MEASURE</t>
  </si>
  <si>
    <t>ZONE</t>
  </si>
  <si>
    <t>EFFICIENCY  RATING</t>
  </si>
  <si>
    <t>ANNUAL  THERM  SAVINGS</t>
  </si>
  <si>
    <t>MEASURE  INCREMENTAL  COST</t>
  </si>
  <si>
    <t>PARTICIPANT  NEBS</t>
  </si>
  <si>
    <t>TOTAL  INCREMENTAL  COST</t>
  </si>
  <si>
    <t>TOTAL  NET  INCREMENTAL  COST  WITH  NEBS</t>
  </si>
  <si>
    <t>MEASURE  LIFE</t>
  </si>
  <si>
    <t>PROGRAM  REBATE</t>
  </si>
  <si>
    <t>TOTAL  REBATES  COST</t>
  </si>
  <si>
    <t>UTILITY  COST</t>
  </si>
  <si>
    <t>UC  W/DELIVERY  &amp;  ADMIN</t>
  </si>
  <si>
    <t>LOADED  UTILITY  BENEFIT  TO  COST  RATIO</t>
  </si>
  <si>
    <t>TOTAL  RESOURCE  COST</t>
  </si>
  <si>
    <t>TRC  W/DELIVERY  &amp;  ADMIN</t>
  </si>
  <si>
    <t>LOADED  SOCIETAL  BENEFIT  TO  COST  RATIO</t>
  </si>
  <si>
    <t>0.87 UEF Tankless Water Heater</t>
  </si>
  <si>
    <t>Zone 1</t>
  </si>
  <si>
    <t>0.87+ UEF</t>
  </si>
  <si>
    <t>Zone 2</t>
  </si>
  <si>
    <t>Zone 3</t>
  </si>
  <si>
    <t>0.93 UEF Tankless Water Heater</t>
  </si>
  <si>
    <t>0.93+ UEF</t>
  </si>
  <si>
    <t>Built Green Certified Home</t>
  </si>
  <si>
    <t>Certified from one to five stars</t>
  </si>
  <si>
    <t>Bundle A</t>
  </si>
  <si>
    <t>Bundle B</t>
  </si>
  <si>
    <t>Ceiling Tier I</t>
  </si>
  <si>
    <t>Tier 1: Post R-38+</t>
  </si>
  <si>
    <t>Ceiling Tier II</t>
  </si>
  <si>
    <t>Tier 2: Post R-49+</t>
  </si>
  <si>
    <t>Condensing Boiler</t>
  </si>
  <si>
    <t>95+% Annual Fuel Utilization Efficiency (AFUE)</t>
  </si>
  <si>
    <t>Condensing High-Efficiency Natural Gas Tankless Water Heater</t>
  </si>
  <si>
    <t>0.91+ Energy Factor (EF) or Greater</t>
  </si>
  <si>
    <t>Duct Insulation</t>
  </si>
  <si>
    <t>Post R ? 8, prior condition must not exceed R-0</t>
  </si>
  <si>
    <t>Duct Sealing</t>
  </si>
  <si>
    <t>30% or more of supply ducts in unconditioned space</t>
  </si>
  <si>
    <t>Energy Savings Kit 1</t>
  </si>
  <si>
    <t>One Low Flow Showerhead plus Aerators</t>
  </si>
  <si>
    <t>Energy Savings Kit 2</t>
  </si>
  <si>
    <t>Two Low Flow Showerheads plus Aerators</t>
  </si>
  <si>
    <t>ENERGY STAR Certified Homes + U.30 Window Glazing</t>
  </si>
  <si>
    <t>Certified HERS 75</t>
  </si>
  <si>
    <t>Floor Insulation</t>
  </si>
  <si>
    <t>Post R 30+, or to fill cavity</t>
  </si>
  <si>
    <t>High-Efficiency Exterior Entry (not sliding) Door</t>
  </si>
  <si>
    <t>U-Factor &lt;0.21, Energy Star Door</t>
  </si>
  <si>
    <t>High-Efficiency Natural Gas Furnace</t>
  </si>
  <si>
    <t>High-Efficiency Natural Gas Hearth (Fireplace)</t>
  </si>
  <si>
    <t>Natural Gas Hearth (Fireplace) - 70% FE Hearth</t>
  </si>
  <si>
    <t>High-Efficiency Natural Gas Fireplace</t>
  </si>
  <si>
    <t>Programmable Thermostat</t>
  </si>
  <si>
    <t>Programmable</t>
  </si>
  <si>
    <t>Wall Insulation</t>
  </si>
  <si>
    <t>Post R-11+, or to fill cavity</t>
  </si>
  <si>
    <t>Whole House Residential Air Sealing</t>
  </si>
  <si>
    <t>Min. 400 CFM50 reduction</t>
  </si>
  <si>
    <t>Windows</t>
  </si>
  <si>
    <t>U Factor ? 0.27</t>
  </si>
  <si>
    <t>TOTAL PROGRAM</t>
  </si>
  <si>
    <t xml:space="preserve"> </t>
  </si>
  <si>
    <t>IRP Discount Rate</t>
  </si>
  <si>
    <t>Inflation Rate</t>
  </si>
  <si>
    <t>Long Term Discount Rate</t>
  </si>
  <si>
    <t>Total Res Program Admin</t>
  </si>
  <si>
    <t>CASCADE NATURAL GAS CORPORATION</t>
  </si>
  <si>
    <t>INTEGRATED RESOURCE PLAN</t>
  </si>
  <si>
    <t>BASECASE - MEDIUM FORECAST - AVERAGE WEATHER</t>
  </si>
  <si>
    <t>45 YEAR RESOURCE SUMMARY COSTS - MELDED COST PER THERM</t>
  </si>
  <si>
    <t>YEAR</t>
  </si>
  <si>
    <t>IRP ANNUAL 
 PORTFOLIO 
 COST PER 
 THERM (PV)*</t>
  </si>
  <si>
    <t>NOMINAL 
 COST 
 PER 
 THERM</t>
  </si>
  <si>
    <t>PV OF 
 RESOURCE 
 PORTFOLIO 
 COST/THERM</t>
  </si>
  <si>
    <t>NON 
 ENERGY 
 BENEFIT</t>
  </si>
  <si>
    <t>PORTFOLIO 
 COSTS  WITH 
 CONSERVATION 
 CREDIT</t>
  </si>
  <si>
    <t>COST- 
 EFFECTIVENESS 
 LIMIT</t>
  </si>
  <si>
    <t>Cascade's Long Term Real Discount Rate:</t>
  </si>
  <si>
    <t>IRP Discount Rate :</t>
  </si>
  <si>
    <t>Revised Discount Rate:</t>
  </si>
  <si>
    <t>Years 21-45 Escalation:</t>
  </si>
  <si>
    <t>(EIA Inflation Rate)</t>
  </si>
  <si>
    <t>High-Efficiency Combination Domestic Hot Water &amp; Hydronic Space Heating System</t>
  </si>
  <si>
    <r>
      <t>ENERGY STAR</t>
    </r>
    <r>
      <rPr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Certified Homes + U.30 Window Glazing</t>
    </r>
  </si>
  <si>
    <t>95+% (AFUE) Hydronic Space Heating &amp; DHW</t>
  </si>
  <si>
    <t>95+%  (AFUE) Hydronic Space Heating &amp; DHW</t>
  </si>
  <si>
    <t>SQFT Insulation</t>
  </si>
  <si>
    <t>Cascade Plan - Measure Mapping</t>
  </si>
  <si>
    <t>LoadMap - Measure Mapping</t>
  </si>
  <si>
    <t>Cascade Plan - Value Comparison</t>
  </si>
  <si>
    <t>LoadMap - Value Comparison</t>
  </si>
  <si>
    <t>Plan Key</t>
  </si>
  <si>
    <t>LoadMap Key</t>
  </si>
  <si>
    <t>Item</t>
  </si>
  <si>
    <t>Sector</t>
  </si>
  <si>
    <t>Zone</t>
  </si>
  <si>
    <t>LoadMap Measure Name</t>
  </si>
  <si>
    <t>Segment</t>
  </si>
  <si>
    <t>Vintage</t>
  </si>
  <si>
    <t>Baseline</t>
  </si>
  <si>
    <t>Efficient Definition</t>
  </si>
  <si>
    <t>Therm Savings (per unit)</t>
  </si>
  <si>
    <t>Incremental Cost ($)</t>
  </si>
  <si>
    <t>Measure Lifetime</t>
  </si>
  <si>
    <t>Measure Incentive ($)</t>
  </si>
  <si>
    <t>UES (Annual therms)</t>
  </si>
  <si>
    <t>Unit of Measure</t>
  </si>
  <si>
    <t>Unit Incremental Cost (2019$)</t>
  </si>
  <si>
    <t>Measure Life</t>
  </si>
  <si>
    <t>Measure Incentive</t>
  </si>
  <si>
    <t>Notes</t>
  </si>
  <si>
    <t>Residential</t>
  </si>
  <si>
    <t>Water Heater &lt;= 55 gal.</t>
  </si>
  <si>
    <t>CZ1 - Single Family</t>
  </si>
  <si>
    <t>Existing</t>
  </si>
  <si>
    <t>Baseline (UEF 0.58)</t>
  </si>
  <si>
    <t>UEF 0.91 (Instantaneous Condensing)</t>
  </si>
  <si>
    <t>Value comparison may be off due to differences in assumed efficiency levels (recommend collapsing this measure with "Condensing High-Efficiency Natural Gas Tankless Water Heater" measure)</t>
  </si>
  <si>
    <t>CZ2 - Single Family</t>
  </si>
  <si>
    <t>CZ3 - Single Family</t>
  </si>
  <si>
    <t>N/A</t>
  </si>
  <si>
    <t>Measure not cost-effective in LoadMap; not modeled</t>
  </si>
  <si>
    <t>Built Green homes</t>
  </si>
  <si>
    <t>New</t>
  </si>
  <si>
    <t>WA Building Code</t>
  </si>
  <si>
    <t>Built Green spec (NC Only)</t>
  </si>
  <si>
    <t>Unit issue? (LoadMap savings are on a per household basis)</t>
  </si>
  <si>
    <t>Insulation - Ceiling, Installation</t>
  </si>
  <si>
    <t>R-0</t>
  </si>
  <si>
    <t>R-38 (Retro only)</t>
  </si>
  <si>
    <t>Insulation - Ceiling, Upgrade</t>
  </si>
  <si>
    <t>R11+, up to R40</t>
  </si>
  <si>
    <t>R-49</t>
  </si>
  <si>
    <t>Boiler - Direct Fuel</t>
  </si>
  <si>
    <t>AFUE 82%</t>
  </si>
  <si>
    <t>AFUE 95%</t>
  </si>
  <si>
    <t>Plan has 2 boiler measures for CZ3 with different savings values; check difference between these 2 measures</t>
  </si>
  <si>
    <t>Recommend collapsing this measure with "0.87 UEF Tankless Water Heater" measure</t>
  </si>
  <si>
    <t>Insulation - Ducting</t>
  </si>
  <si>
    <t>2° F duct loss</t>
  </si>
  <si>
    <t>duct thermal losses reduced 50%</t>
  </si>
  <si>
    <t>Ducting - Repair and Sealing</t>
  </si>
  <si>
    <t>10% air leak to outside</t>
  </si>
  <si>
    <t>50% reduction in duct leakage</t>
  </si>
  <si>
    <t>Water Heater - Low Flow Showerhead (1.5 or 2.0 GPM?)</t>
  </si>
  <si>
    <t>3.5 GPM showerhead</t>
  </si>
  <si>
    <t>2.0/1.5 GPM showerhead?</t>
  </si>
  <si>
    <t>Check which GPM level for showerheads; Aerators not modeled in LoadMap</t>
  </si>
  <si>
    <t>household</t>
  </si>
  <si>
    <t>Insulation - Floor/Crawlspace</t>
  </si>
  <si>
    <t>R-30</t>
  </si>
  <si>
    <t>Combined Boiler + DHW System (Storage Tank)</t>
  </si>
  <si>
    <t>Gas space heating AFUE 80% and water heating baseline storage tank 40 gal</t>
  </si>
  <si>
    <t>Combined tankless boiler unit for space and DHW</t>
  </si>
  <si>
    <t>Doors - Storm and Thermal</t>
  </si>
  <si>
    <t>R-2.5 door</t>
  </si>
  <si>
    <t>R-5 door</t>
  </si>
  <si>
    <t>door</t>
  </si>
  <si>
    <t>Converted LoadMap savings from sqft door to door</t>
  </si>
  <si>
    <t>Furnace - Direct Fuel</t>
  </si>
  <si>
    <t>AFUE 80%</t>
  </si>
  <si>
    <t>AFUE 98%</t>
  </si>
  <si>
    <t>Plan has 2 furnace measures for each CZ with different savings values; check difference between these measures</t>
  </si>
  <si>
    <t>Fireplace</t>
  </si>
  <si>
    <t>Baseline (50% to 60% FE Rating)</t>
  </si>
  <si>
    <t>Tier 1 (70% FE Rating)</t>
  </si>
  <si>
    <t>Thermostat - Programmable</t>
  </si>
  <si>
    <t>Manual/no control</t>
  </si>
  <si>
    <t>Programmed thermostat</t>
  </si>
  <si>
    <t>Insulation - Wall Cavity, Installation</t>
  </si>
  <si>
    <t>R-11</t>
  </si>
  <si>
    <t>ACH50 &gt;= 5</t>
  </si>
  <si>
    <t>20% reduction in ACH50</t>
  </si>
  <si>
    <t>home</t>
  </si>
  <si>
    <t>Converted LoadMap savings from sqft home to home</t>
  </si>
  <si>
    <t>Windows - U-.30</t>
  </si>
  <si>
    <t>Existing inefficient Window</t>
  </si>
  <si>
    <t>Double Pane LowE U30</t>
  </si>
  <si>
    <t>Value comparison may be off due to differences in assumed efficiency levels</t>
  </si>
  <si>
    <t>unit</t>
  </si>
  <si>
    <t>sqft roof</t>
  </si>
  <si>
    <t>kBTU/hr</t>
  </si>
  <si>
    <t>linear duct ft</t>
  </si>
  <si>
    <t>ENERGY STAR® Certified Homes + U.30 Window Glazing</t>
  </si>
  <si>
    <t>sqft floor</t>
  </si>
  <si>
    <t>sqft wall</t>
  </si>
  <si>
    <t>sqft window</t>
  </si>
  <si>
    <t>Key</t>
  </si>
  <si>
    <t>LoadMap Units</t>
  </si>
  <si>
    <t>Adjustments made</t>
  </si>
  <si>
    <t>Adjusted efficiency level to match plan efficiency</t>
  </si>
  <si>
    <t>Used values from 0.91 measure in LoadMap and adjusted efficiency level to match plan efficiency</t>
  </si>
  <si>
    <t>95% efficiency not modeled; adjusted 98% results to match efficiency levels</t>
  </si>
  <si>
    <t>Recommended Savings</t>
  </si>
  <si>
    <t>LoadMap Therm Savings</t>
  </si>
  <si>
    <t>LoadMap Program Rebate</t>
  </si>
  <si>
    <t>Recommended Efficiency Rating</t>
  </si>
  <si>
    <t>98+% Annual Fuel Utilization Efficiency (AFUE)</t>
  </si>
  <si>
    <t>LoadMap Measure Life</t>
  </si>
  <si>
    <t>Recommended Measure Life</t>
  </si>
  <si>
    <t>Recommended Rebate</t>
  </si>
  <si>
    <t>Smart Thermostat</t>
  </si>
  <si>
    <t>Energy Star Smart Thermostat</t>
  </si>
  <si>
    <t>ENERGY STAR Connected Thermostat</t>
  </si>
  <si>
    <t>Interactive/learning thermostat (ie, NEST)</t>
  </si>
  <si>
    <t>Clothes Washer</t>
  </si>
  <si>
    <t>ENERGY STAR Clothes Washers</t>
  </si>
  <si>
    <t>Minimum standard unit</t>
  </si>
  <si>
    <t>ENERGY STAR unit</t>
  </si>
  <si>
    <t>Smart Thermostat_Zone 1_Energy Star Smart Thermostat</t>
  </si>
  <si>
    <t>ENERGY STAR Connected Thermostat_CZ1 - Single Family_Existing_Manual/no control_Interactive/learning thermostat (ie, NEST)</t>
  </si>
  <si>
    <t>Smart Thermostat_Zone 2_Energy Star Smart Thermostat</t>
  </si>
  <si>
    <t>ENERGY STAR Connected Thermostat_CZ2 - Single Family_Existing_Manual/no control_Interactive/learning thermostat (ie, NEST)</t>
  </si>
  <si>
    <t>Smart Thermostat_Zone 3_Energy Star Smart Thermostat</t>
  </si>
  <si>
    <t>ENERGY STAR Connected Thermostat_CZ3 - Single Family_Existing_Manual/no control_Interactive/learning thermostat (ie, NEST)</t>
  </si>
  <si>
    <t>Clothes Washer_Zone 1_ENERGY STAR Clothes Washers</t>
  </si>
  <si>
    <t>ENERGY STAR Clothes Washers_CZ1 - Single Family_Existing_Minimum standard unit_ENERGY STAR unit</t>
  </si>
  <si>
    <t>Clothes Washer_Zone 2_ENERGY STAR Clothes Washers</t>
  </si>
  <si>
    <t>ENERGY STAR Clothes Washers_CZ2 - Single Family_Existing_Minimum standard unit_ENERGY STAR unit</t>
  </si>
  <si>
    <t>Clothes Washer_Zone 3_ENERGY STAR Clothes Washers</t>
  </si>
  <si>
    <t>ENERGY STAR Clothes Washers_CZ3 - Single Family_Existing_Minimum standard unit_ENERGY STAR unit</t>
  </si>
  <si>
    <t>Original</t>
  </si>
  <si>
    <t>Recommended</t>
  </si>
  <si>
    <t>LoadMap Incremental Cost</t>
  </si>
  <si>
    <t>Recommended Costs</t>
  </si>
  <si>
    <t>Insulation - Infiltration Control (Air Sealing)</t>
  </si>
  <si>
    <t>Duct Insulation - Conversion</t>
  </si>
  <si>
    <t>Duct Length = Building Perimeter</t>
  </si>
  <si>
    <t>Building Perimeter = sqrt(sqft home)*4</t>
  </si>
  <si>
    <t>Field</t>
  </si>
  <si>
    <t>Code</t>
  </si>
  <si>
    <t>Unit Conversions for Lookup</t>
  </si>
  <si>
    <t>BEST Seg</t>
  </si>
  <si>
    <t>CZ1 - Multi Family</t>
  </si>
  <si>
    <t>CZ2 - Multi Family</t>
  </si>
  <si>
    <t>CZ3 - Multi Family</t>
  </si>
  <si>
    <t>Measure</t>
  </si>
  <si>
    <t>Description</t>
  </si>
  <si>
    <t>Efficiency Type For Qualification</t>
  </si>
  <si>
    <t>FEBRUARY 2021 REBATE</t>
  </si>
  <si>
    <t>FEBRUARY 2021 UCT</t>
  </si>
  <si>
    <t>PROPOSED AUGUST 2021 REBATE</t>
  </si>
  <si>
    <t>Built Green Certified Home (3-5)</t>
  </si>
  <si>
    <t>Certified from one to five stars1</t>
  </si>
  <si>
    <t>3 or higher</t>
  </si>
  <si>
    <t xml:space="preserve">ENERGY STAR Certified Homes </t>
  </si>
  <si>
    <t>National Program Requirements Version 3.2 (Rev. 09)1</t>
  </si>
  <si>
    <t>Gas heat, E* 3.2 rev 11 requirements</t>
  </si>
  <si>
    <t>Attic/Ceiling Tier I - R38</t>
  </si>
  <si>
    <t>Equal to or greater than R-38</t>
  </si>
  <si>
    <t>Pre R19, Post R38</t>
  </si>
  <si>
    <t>$0.75/ sqft</t>
  </si>
  <si>
    <t>Attic/Ceiling Tier II - R49</t>
  </si>
  <si>
    <t>Equal to or greater than R-49</t>
  </si>
  <si>
    <t>Pre R19, Post R49</t>
  </si>
  <si>
    <t>$1.00/ sqft</t>
  </si>
  <si>
    <t>Equal to or greater than R-11 or to fill cavity</t>
  </si>
  <si>
    <t>Pre R4, Post R11</t>
  </si>
  <si>
    <t>Equal to or greater than R-30 or to fill cavity</t>
  </si>
  <si>
    <t>Pre R11, Post R30</t>
  </si>
  <si>
    <t>400 CFM50 reduction</t>
  </si>
  <si>
    <t>Windows (0.3&gt;)</t>
  </si>
  <si>
    <t>Less than or equal to 0.30 U Factor</t>
  </si>
  <si>
    <t>min U 0.3 - 0.28</t>
  </si>
  <si>
    <t>$5/sqft</t>
  </si>
  <si>
    <t>Windows (0.27&gt;)</t>
  </si>
  <si>
    <t>Less than or equal to 0.27 U Factor</t>
  </si>
  <si>
    <t>&gt; U 0.27</t>
  </si>
  <si>
    <t>$7/sqft</t>
  </si>
  <si>
    <t>Min 4 CFM25 per 100 square feet of conditioned space</t>
  </si>
  <si>
    <t>30% of duct outside conditioned space sealed with mastic or aeroseal</t>
  </si>
  <si>
    <t>R-8</t>
  </si>
  <si>
    <t>Pre R0, Post R8</t>
  </si>
  <si>
    <t>$0.50/linear ft</t>
  </si>
  <si>
    <t>Tankless Water Heater 0.91 UEF</t>
  </si>
  <si>
    <t>.91 UEF2</t>
  </si>
  <si>
    <t>&gt; 0.91UEF</t>
  </si>
  <si>
    <t>Combination System
(95 AFUE)</t>
  </si>
  <si>
    <t>95% AFUE Combination Domestic Hot Water and Hydronic Space Heating System using pre-approved Combination Boiler1,2</t>
  </si>
  <si>
    <t>95 AFUE</t>
  </si>
  <si>
    <t>Boiler (95 AFUE)</t>
  </si>
  <si>
    <t>95% AFUE</t>
  </si>
  <si>
    <t>Furnace
(95 AFUE min)</t>
  </si>
  <si>
    <t>95% AFUE1</t>
  </si>
  <si>
    <t>&gt;95 AFUE</t>
  </si>
  <si>
    <t>Furnace
(98 AFUE min)</t>
  </si>
  <si>
    <t>&gt;98 AFUE</t>
  </si>
  <si>
    <t>Learning thermostat</t>
  </si>
  <si>
    <t>Existing Homes Only</t>
  </si>
  <si>
    <t>5-2 Programmable thermostat</t>
  </si>
  <si>
    <t>Hearth/Fireplace (70% Energuide/P.4)</t>
  </si>
  <si>
    <t>70% EnerGuide (FE) Efficiency Rating6</t>
  </si>
  <si>
    <t>CSP.4 min &gt;70% Energuide</t>
  </si>
  <si>
    <t>Energy Star</t>
  </si>
  <si>
    <t>Exterior Door</t>
  </si>
  <si>
    <t>Equal to or less than U 0.21</t>
  </si>
  <si>
    <t>Min U 0.21</t>
  </si>
  <si>
    <t>Measure #</t>
  </si>
  <si>
    <t>ENERGY STAR Homes</t>
  </si>
  <si>
    <t>U Factor 0.30</t>
  </si>
  <si>
    <t>U Factor 0.22</t>
  </si>
  <si>
    <t>Double Pane LowE CL22</t>
  </si>
  <si>
    <t>Windows - U-.22 or better</t>
  </si>
  <si>
    <t>Windows_Zone 1_U Factor 0.22</t>
  </si>
  <si>
    <t>Windows - U-.22 or better_CZ1 - Single Family_Existing_Existing inefficient Window_Double Pane LowE CL22</t>
  </si>
  <si>
    <t>Windows_Zone 2_U Factor 0.22</t>
  </si>
  <si>
    <t>Windows - U-.22 or better_CZ2 - Single Family_Existing_Existing inefficient Window_Double Pane LowE CL22</t>
  </si>
  <si>
    <t>Windows_Zone 3_U Factor 0.22</t>
  </si>
  <si>
    <t>Windows - U-.22 or better_CZ3 - Single Family_Existing_Existing inefficient Window_Double Pane LowE CL22</t>
  </si>
  <si>
    <t>Windows (0.22&gt;)</t>
  </si>
  <si>
    <t>Less than or equal to 0.22 U Factor</t>
  </si>
  <si>
    <t>&gt; U 0.22</t>
  </si>
  <si>
    <t>PROPOSED AUGUST 2021 UCT</t>
  </si>
  <si>
    <t>FEBRUARY 2021 TRC</t>
  </si>
  <si>
    <t>PROPOSED AUGUST 2021 TRC</t>
  </si>
  <si>
    <t>n/a</t>
  </si>
  <si>
    <t>BPA Weatherization Specifications section 4.4 or 6.2</t>
  </si>
  <si>
    <t>Prescriptive Air Sealing W/Insulation Install</t>
  </si>
  <si>
    <t>Air Sealing that follows a prescriptive checklist</t>
  </si>
  <si>
    <t>Portfolio Level Cost Effectiveness</t>
  </si>
  <si>
    <t>-</t>
  </si>
  <si>
    <t>Total NEI</t>
  </si>
  <si>
    <t>CNGC Measure % of Total Potential 2022</t>
  </si>
  <si>
    <t>CNGC Measure % of Total Potential 2023</t>
  </si>
  <si>
    <t>2022  ANNUAL  THERM  SAVINGS</t>
  </si>
  <si>
    <t>0.91+ Energy Factor (UEF) or Greater</t>
  </si>
  <si>
    <t>5-2 Programmable</t>
  </si>
  <si>
    <t>2022 PROGRAM  DELIVERY  &amp;  ADMIN</t>
  </si>
  <si>
    <t>2023 PROGRAM  DELIVERY  &amp;  ADMIN</t>
  </si>
  <si>
    <t>2020 PARTICIPANTS</t>
  </si>
  <si>
    <t>2020 MEASURES  INSTALLED</t>
  </si>
  <si>
    <t>2023 Measures Installed</t>
  </si>
  <si>
    <t>2022 Measures Installed</t>
  </si>
  <si>
    <t>2022 TRC  DISCOUNTED  THERM  SAVINGS</t>
  </si>
  <si>
    <t>2023 TRC  DISCOUNTED  THERM  SAVINGS</t>
  </si>
  <si>
    <t>2022 UCT  DISCOUNTED  THERM  SAVINGS</t>
  </si>
  <si>
    <t>2023 UCT  DISCOUNTED  THERM  SAVINGS</t>
  </si>
  <si>
    <t>Cost effectiveness 2022</t>
  </si>
  <si>
    <t>Cost effectiveness 2023</t>
  </si>
  <si>
    <t>2023  ANNUAL  THERM  SAVINGS</t>
  </si>
  <si>
    <t>EM&amp;V</t>
  </si>
  <si>
    <t>Conservation Potential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</si>
</sst>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\$#,##0.00;\$\-#,##0.00"/>
    <numFmt numFmtId="165" formatCode="\$#,##0.00"/>
    <numFmt numFmtId="166" formatCode="\$#,##0.000"/>
    <numFmt numFmtId="167" formatCode="#,##0.000;\(#,##0.000\)\ "/>
    <numFmt numFmtId="168" formatCode="\$#,##0.000;\$\(#,##0.000\)\ "/>
    <numFmt numFmtId="169" formatCode="\$#,##0.000;\$\(#,##0.000\)"/>
    <numFmt numFmtId="170" formatCode="\$#,##0.00;\$\(#,##0.00\)"/>
    <numFmt numFmtId="171" formatCode="#,##0.00%"/>
    <numFmt numFmtId="172" formatCode="\$#,##0.0000;\$\-#,##0.0000"/>
    <numFmt numFmtId="173" formatCode="\$#,##0.##;\$\-#,##0.##"/>
    <numFmt numFmtId="174" formatCode="#,##0.0000000000000000_);\(#,##0.0000000000000000\)"/>
    <numFmt numFmtId="175" formatCode="&quot;$&quot;#,##0.00"/>
    <numFmt numFmtId="176" formatCode="#,##0.00;\(#,##0.00\)\ "/>
    <numFmt numFmtId="177" formatCode="0.0"/>
    <numFmt numFmtId="178" formatCode="&quot;$&quot;#,##0"/>
    <numFmt numFmtId="184" formatCode="0.000"/>
  </numFmts>
  <fonts count="31" x14ac:knownFonts="1">
    <font>
      <sz val="11"/>
      <color theme="1"/>
      <name val="Calibri"/>
      <family val="2"/>
      <scheme val="minor"/>
    </font>
    <font>
      <b/>
      <sz val="15"/>
      <color rgb="FF3634E0"/>
      <name val="Arial"/>
      <family val="2"/>
    </font>
    <font>
      <b/>
      <sz val="21"/>
      <color rgb="FF058FFF"/>
      <name val="Arial"/>
      <family val="2"/>
    </font>
    <font>
      <b/>
      <sz val="17"/>
      <color rgb="FF058FFF"/>
      <name val="Arial"/>
      <family val="2"/>
    </font>
    <font>
      <b/>
      <sz val="23"/>
      <color rgb="FF058FFF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0"/>
      <color rgb="FF000000"/>
      <name val="Arial"/>
      <family val="2"/>
    </font>
    <font>
      <b/>
      <sz val="11"/>
      <color rgb="FF3634E0"/>
      <name val="Arial"/>
      <family val="2"/>
    </font>
    <font>
      <b/>
      <sz val="11"/>
      <color rgb="FFA61712"/>
      <name val="Arial"/>
      <family val="2"/>
    </font>
    <font>
      <b/>
      <sz val="8"/>
      <color rgb="FF000000"/>
      <name val="Arial"/>
      <family val="2"/>
    </font>
    <font>
      <sz val="7.5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i/>
      <sz val="11"/>
      <color theme="6"/>
      <name val="Calibri"/>
      <family val="2"/>
      <scheme val="minor"/>
    </font>
    <font>
      <b/>
      <sz val="10"/>
      <name val="Arial"/>
      <family val="2"/>
    </font>
    <font>
      <b/>
      <sz val="18"/>
      <color rgb="FFFFFFFF"/>
      <name val="Arial"/>
      <family val="2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b/>
      <sz val="17"/>
      <name val="Arial"/>
      <family val="2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0"/>
      <name val="Calibri"/>
      <family val="2"/>
    </font>
    <font>
      <i/>
      <sz val="11"/>
      <color theme="2" tint="-9.9978637043366805E-2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Arial"/>
      <family val="2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5AA6DB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ADADA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40">
    <border>
      <left/>
      <right/>
      <top/>
      <bottom/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thick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/>
      <bottom/>
      <diagonal/>
    </border>
    <border>
      <left/>
      <right/>
      <top/>
      <bottom/>
      <diagonal/>
    </border>
    <border>
      <left style="thin">
        <color rgb="FFC2BABA"/>
      </left>
      <right style="thin">
        <color rgb="FFC2BABA"/>
      </right>
      <top style="thin">
        <color rgb="FFC2BABA"/>
      </top>
      <bottom style="thin">
        <color rgb="FFC2BAB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2BABA"/>
      </left>
      <right/>
      <top style="thin">
        <color rgb="FFC2BABA"/>
      </top>
      <bottom/>
      <diagonal/>
    </border>
    <border>
      <left/>
      <right/>
      <top style="thin">
        <color rgb="FFC2BABA"/>
      </top>
      <bottom/>
      <diagonal/>
    </border>
    <border>
      <left/>
      <right style="thin">
        <color rgb="FFC2BABA"/>
      </right>
      <top style="thin">
        <color rgb="FFC2BABA"/>
      </top>
      <bottom/>
      <diagonal/>
    </border>
    <border>
      <left style="thin">
        <color rgb="FFC2BABA"/>
      </left>
      <right/>
      <top style="thin">
        <color rgb="FFC2BABA"/>
      </top>
      <bottom style="thin">
        <color rgb="FFC2BABA"/>
      </bottom>
      <diagonal/>
    </border>
    <border>
      <left/>
      <right/>
      <top style="thin">
        <color rgb="FFC2BABA"/>
      </top>
      <bottom style="thin">
        <color rgb="FFC2BABA"/>
      </bottom>
      <diagonal/>
    </border>
    <border>
      <left/>
      <right style="thin">
        <color rgb="FFC2BABA"/>
      </right>
      <top style="thin">
        <color rgb="FFC2BABA"/>
      </top>
      <bottom style="thin">
        <color rgb="FFC2BABA"/>
      </bottom>
      <diagonal/>
    </border>
    <border>
      <left/>
      <right/>
      <top style="thin">
        <color rgb="FF000000"/>
      </top>
      <bottom style="thin">
        <color rgb="FFC2BABA"/>
      </bottom>
      <diagonal/>
    </border>
    <border>
      <left/>
      <right style="thick">
        <color theme="6" tint="0.39997558519241921"/>
      </right>
      <top/>
      <bottom/>
      <diagonal/>
    </border>
    <border>
      <left style="thick">
        <color theme="6" tint="0.39997558519241921"/>
      </left>
      <right/>
      <top style="thick">
        <color theme="6" tint="0.39997558519241921"/>
      </top>
      <bottom style="thick">
        <color theme="6" tint="0.39997558519241921"/>
      </bottom>
      <diagonal/>
    </border>
    <border>
      <left/>
      <right/>
      <top style="thick">
        <color theme="6" tint="0.39997558519241921"/>
      </top>
      <bottom style="thick">
        <color theme="6" tint="0.39997558519241921"/>
      </bottom>
      <diagonal/>
    </border>
    <border>
      <left/>
      <right style="thick">
        <color theme="6" tint="0.39997558519241921"/>
      </right>
      <top style="thick">
        <color theme="6" tint="0.39997558519241921"/>
      </top>
      <bottom style="thick">
        <color theme="6" tint="0.39997558519241921"/>
      </bottom>
      <diagonal/>
    </border>
    <border>
      <left style="thick">
        <color rgb="FFD6D2D2"/>
      </left>
      <right style="thick">
        <color theme="6" tint="0.39997558519241921"/>
      </right>
      <top/>
      <bottom style="medium">
        <color rgb="FFD6D2D2"/>
      </bottom>
      <diagonal/>
    </border>
    <border>
      <left/>
      <right style="thick">
        <color theme="6" tint="0.39997558519241921"/>
      </right>
      <top/>
      <bottom style="medium">
        <color rgb="FFD6D2D2"/>
      </bottom>
      <diagonal/>
    </border>
    <border>
      <left style="thick">
        <color theme="6" tint="0.39997558519241921"/>
      </left>
      <right style="thick">
        <color theme="6" tint="0.39997558519241921"/>
      </right>
      <top/>
      <bottom style="medium">
        <color rgb="FFD6D2D2"/>
      </bottom>
      <diagonal/>
    </border>
    <border>
      <left style="thick">
        <color theme="6" tint="0.39997558519241921"/>
      </left>
      <right style="thick">
        <color theme="6" tint="0.39997558519241921"/>
      </right>
      <top/>
      <bottom/>
      <diagonal/>
    </border>
    <border>
      <left style="thick">
        <color theme="6" tint="0.399975585192419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D6D2D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6D2D2"/>
      </left>
      <right/>
      <top style="medium">
        <color rgb="FFD6D2D2"/>
      </top>
      <bottom/>
      <diagonal/>
    </border>
    <border>
      <left/>
      <right/>
      <top style="medium">
        <color rgb="FFD6D2D2"/>
      </top>
      <bottom/>
      <diagonal/>
    </border>
    <border>
      <left/>
      <right style="medium">
        <color rgb="FFD6D2D2"/>
      </right>
      <top style="medium">
        <color rgb="FFD6D2D2"/>
      </top>
      <bottom/>
      <diagonal/>
    </border>
    <border>
      <left style="medium">
        <color rgb="FFD6D2D2"/>
      </left>
      <right/>
      <top/>
      <bottom/>
      <diagonal/>
    </border>
  </borders>
  <cellStyleXfs count="9">
    <xf numFmtId="0" fontId="0" fillId="0" borderId="0"/>
    <xf numFmtId="9" fontId="15" fillId="0" borderId="0" applyFont="0" applyFill="0" applyBorder="0" applyAlignment="0" applyProtection="0"/>
    <xf numFmtId="0" fontId="15" fillId="52" borderId="4"/>
    <xf numFmtId="0" fontId="15" fillId="52" borderId="4"/>
    <xf numFmtId="9" fontId="15" fillId="52" borderId="4" applyFont="0" applyFill="0" applyBorder="0" applyAlignment="0" applyProtection="0"/>
    <xf numFmtId="0" fontId="15" fillId="52" borderId="4"/>
    <xf numFmtId="0" fontId="15" fillId="62" borderId="4" applyNumberFormat="0" applyBorder="0" applyAlignment="0" applyProtection="0"/>
    <xf numFmtId="0" fontId="15" fillId="63" borderId="4" applyNumberFormat="0" applyBorder="0" applyAlignment="0" applyProtection="0"/>
    <xf numFmtId="0" fontId="15" fillId="64" borderId="4" applyNumberFormat="0" applyBorder="0" applyAlignment="0" applyProtection="0"/>
  </cellStyleXfs>
  <cellXfs count="169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5" fillId="6" borderId="2" xfId="0" applyNumberFormat="1" applyFont="1" applyFill="1" applyBorder="1" applyAlignment="1" applyProtection="1">
      <alignment horizontal="center" vertical="center" wrapText="1"/>
    </xf>
    <xf numFmtId="0" fontId="6" fillId="7" borderId="1" xfId="0" applyNumberFormat="1" applyFont="1" applyFill="1" applyBorder="1" applyAlignment="1" applyProtection="1">
      <alignment horizontal="center" vertical="center" wrapText="1"/>
    </xf>
    <xf numFmtId="3" fontId="6" fillId="8" borderId="1" xfId="0" applyNumberFormat="1" applyFont="1" applyFill="1" applyBorder="1" applyAlignment="1" applyProtection="1">
      <alignment horizontal="center" vertical="center" wrapText="1"/>
    </xf>
    <xf numFmtId="164" fontId="6" fillId="9" borderId="1" xfId="0" applyNumberFormat="1" applyFont="1" applyFill="1" applyBorder="1" applyAlignment="1" applyProtection="1">
      <alignment horizontal="center" vertical="center" wrapText="1"/>
    </xf>
    <xf numFmtId="165" fontId="6" fillId="10" borderId="1" xfId="0" applyNumberFormat="1" applyFont="1" applyFill="1" applyBorder="1" applyAlignment="1" applyProtection="1">
      <alignment horizontal="center" vertical="center" wrapText="1"/>
    </xf>
    <xf numFmtId="4" fontId="6" fillId="11" borderId="1" xfId="0" applyNumberFormat="1" applyFont="1" applyFill="1" applyBorder="1" applyAlignment="1" applyProtection="1">
      <alignment horizontal="center" vertical="center" wrapText="1"/>
    </xf>
    <xf numFmtId="166" fontId="6" fillId="12" borderId="1" xfId="0" applyNumberFormat="1" applyFont="1" applyFill="1" applyBorder="1" applyAlignment="1" applyProtection="1">
      <alignment horizontal="center" vertical="center" wrapText="1"/>
    </xf>
    <xf numFmtId="168" fontId="6" fillId="14" borderId="1" xfId="0" applyNumberFormat="1" applyFont="1" applyFill="1" applyBorder="1" applyAlignment="1" applyProtection="1">
      <alignment horizontal="center" vertical="center" wrapText="1"/>
    </xf>
    <xf numFmtId="169" fontId="6" fillId="15" borderId="1" xfId="0" applyNumberFormat="1" applyFont="1" applyFill="1" applyBorder="1" applyAlignment="1" applyProtection="1">
      <alignment horizontal="center" vertical="center" wrapText="1"/>
    </xf>
    <xf numFmtId="0" fontId="6" fillId="16" borderId="1" xfId="0" applyNumberFormat="1" applyFont="1" applyFill="1" applyBorder="1" applyAlignment="1" applyProtection="1">
      <alignment horizontal="center" vertical="center" wrapText="1"/>
    </xf>
    <xf numFmtId="3" fontId="6" fillId="17" borderId="1" xfId="0" applyNumberFormat="1" applyFont="1" applyFill="1" applyBorder="1" applyAlignment="1" applyProtection="1">
      <alignment horizontal="center" vertical="center" wrapText="1"/>
    </xf>
    <xf numFmtId="164" fontId="6" fillId="18" borderId="1" xfId="0" applyNumberFormat="1" applyFont="1" applyFill="1" applyBorder="1" applyAlignment="1" applyProtection="1">
      <alignment horizontal="center" vertical="center" wrapText="1"/>
    </xf>
    <xf numFmtId="165" fontId="6" fillId="19" borderId="1" xfId="0" applyNumberFormat="1" applyFont="1" applyFill="1" applyBorder="1" applyAlignment="1" applyProtection="1">
      <alignment horizontal="center" vertical="center" wrapText="1"/>
    </xf>
    <xf numFmtId="4" fontId="6" fillId="20" borderId="1" xfId="0" applyNumberFormat="1" applyFont="1" applyFill="1" applyBorder="1" applyAlignment="1" applyProtection="1">
      <alignment horizontal="center" vertical="center" wrapText="1"/>
    </xf>
    <xf numFmtId="166" fontId="6" fillId="21" borderId="1" xfId="0" applyNumberFormat="1" applyFont="1" applyFill="1" applyBorder="1" applyAlignment="1" applyProtection="1">
      <alignment horizontal="center" vertical="center" wrapText="1"/>
    </xf>
    <xf numFmtId="168" fontId="6" fillId="23" borderId="1" xfId="0" applyNumberFormat="1" applyFont="1" applyFill="1" applyBorder="1" applyAlignment="1" applyProtection="1">
      <alignment horizontal="center" vertical="center" wrapText="1"/>
    </xf>
    <xf numFmtId="169" fontId="6" fillId="24" borderId="1" xfId="0" applyNumberFormat="1" applyFont="1" applyFill="1" applyBorder="1" applyAlignment="1" applyProtection="1">
      <alignment horizontal="center" vertical="center" wrapText="1"/>
    </xf>
    <xf numFmtId="0" fontId="5" fillId="25" borderId="1" xfId="0" applyNumberFormat="1" applyFont="1" applyFill="1" applyBorder="1" applyAlignment="1" applyProtection="1">
      <alignment horizontal="center" vertical="center" wrapText="1"/>
    </xf>
    <xf numFmtId="0" fontId="7" fillId="26" borderId="3" xfId="0" applyNumberFormat="1" applyFont="1" applyFill="1" applyBorder="1" applyAlignment="1" applyProtection="1">
      <alignment horizontal="center" vertical="center" wrapText="1"/>
    </xf>
    <xf numFmtId="3" fontId="7" fillId="27" borderId="1" xfId="0" applyNumberFormat="1" applyFont="1" applyFill="1" applyBorder="1" applyAlignment="1" applyProtection="1">
      <alignment horizontal="center" vertical="center" wrapText="1"/>
    </xf>
    <xf numFmtId="4" fontId="7" fillId="28" borderId="3" xfId="0" applyNumberFormat="1" applyFont="1" applyFill="1" applyBorder="1" applyAlignment="1" applyProtection="1">
      <alignment horizontal="center" vertical="center" wrapText="1"/>
    </xf>
    <xf numFmtId="4" fontId="5" fillId="29" borderId="1" xfId="0" applyNumberFormat="1" applyFont="1" applyFill="1" applyBorder="1" applyAlignment="1" applyProtection="1">
      <alignment horizontal="center" vertical="center" wrapText="1"/>
    </xf>
    <xf numFmtId="170" fontId="7" fillId="30" borderId="3" xfId="0" applyNumberFormat="1" applyFont="1" applyFill="1" applyBorder="1" applyAlignment="1" applyProtection="1">
      <alignment horizontal="center" vertical="center" wrapText="1"/>
    </xf>
    <xf numFmtId="3" fontId="5" fillId="31" borderId="1" xfId="0" applyNumberFormat="1" applyFont="1" applyFill="1" applyBorder="1" applyAlignment="1" applyProtection="1">
      <alignment horizontal="center" vertical="center" wrapText="1"/>
    </xf>
    <xf numFmtId="170" fontId="5" fillId="32" borderId="1" xfId="0" applyNumberFormat="1" applyFont="1" applyFill="1" applyBorder="1" applyAlignment="1" applyProtection="1">
      <alignment horizontal="center" vertical="center" wrapText="1"/>
    </xf>
    <xf numFmtId="167" fontId="7" fillId="33" borderId="3" xfId="0" applyNumberFormat="1" applyFont="1" applyFill="1" applyBorder="1" applyAlignment="1" applyProtection="1">
      <alignment horizontal="center" vertical="center" wrapText="1"/>
    </xf>
    <xf numFmtId="0" fontId="8" fillId="34" borderId="4" xfId="0" applyNumberFormat="1" applyFont="1" applyFill="1" applyBorder="1" applyAlignment="1" applyProtection="1">
      <alignment horizontal="center" vertical="center" wrapText="1"/>
    </xf>
    <xf numFmtId="0" fontId="0" fillId="35" borderId="0" xfId="0" applyNumberFormat="1" applyFont="1" applyFill="1" applyBorder="1" applyAlignment="1" applyProtection="1">
      <alignment wrapText="1"/>
      <protection locked="0"/>
    </xf>
    <xf numFmtId="0" fontId="9" fillId="36" borderId="1" xfId="0" applyNumberFormat="1" applyFont="1" applyFill="1" applyBorder="1" applyAlignment="1" applyProtection="1">
      <alignment horizontal="center" vertical="center" wrapText="1"/>
    </xf>
    <xf numFmtId="171" fontId="10" fillId="37" borderId="1" xfId="0" applyNumberFormat="1" applyFont="1" applyFill="1" applyBorder="1" applyAlignment="1" applyProtection="1">
      <alignment horizontal="left" vertical="center" wrapText="1"/>
    </xf>
    <xf numFmtId="164" fontId="10" fillId="38" borderId="1" xfId="0" applyNumberFormat="1" applyFont="1" applyFill="1" applyBorder="1" applyAlignment="1" applyProtection="1">
      <alignment horizontal="left" vertical="center" wrapText="1"/>
    </xf>
    <xf numFmtId="0" fontId="6" fillId="41" borderId="4" xfId="0" applyNumberFormat="1" applyFont="1" applyFill="1" applyBorder="1" applyAlignment="1" applyProtection="1">
      <alignment horizontal="center" vertical="center" wrapText="1"/>
    </xf>
    <xf numFmtId="0" fontId="12" fillId="42" borderId="6" xfId="0" applyNumberFormat="1" applyFont="1" applyFill="1" applyBorder="1" applyAlignment="1" applyProtection="1">
      <alignment horizontal="center" vertical="center" wrapText="1"/>
    </xf>
    <xf numFmtId="0" fontId="13" fillId="43" borderId="6" xfId="0" applyNumberFormat="1" applyFont="1" applyFill="1" applyBorder="1" applyAlignment="1" applyProtection="1">
      <alignment horizontal="center" vertical="center" wrapText="1"/>
    </xf>
    <xf numFmtId="164" fontId="13" fillId="44" borderId="6" xfId="0" applyNumberFormat="1" applyFont="1" applyFill="1" applyBorder="1" applyAlignment="1" applyProtection="1">
      <alignment horizontal="center" vertical="center" wrapText="1"/>
    </xf>
    <xf numFmtId="172" fontId="13" fillId="45" borderId="6" xfId="0" applyNumberFormat="1" applyFont="1" applyFill="1" applyBorder="1" applyAlignment="1" applyProtection="1">
      <alignment horizontal="center" vertical="center" wrapText="1"/>
    </xf>
    <xf numFmtId="173" fontId="13" fillId="46" borderId="6" xfId="0" applyNumberFormat="1" applyFont="1" applyFill="1" applyBorder="1" applyAlignment="1" applyProtection="1">
      <alignment horizontal="center" vertical="center" wrapText="1"/>
    </xf>
    <xf numFmtId="0" fontId="11" fillId="47" borderId="6" xfId="0" applyNumberFormat="1" applyFont="1" applyFill="1" applyBorder="1" applyAlignment="1" applyProtection="1">
      <alignment horizontal="center" vertical="center" wrapText="1"/>
    </xf>
    <xf numFmtId="171" fontId="13" fillId="51" borderId="5" xfId="0" applyNumberFormat="1" applyFont="1" applyFill="1" applyBorder="1" applyAlignment="1" applyProtection="1">
      <alignment horizontal="center" vertical="center" wrapText="1"/>
    </xf>
    <xf numFmtId="0" fontId="0" fillId="35" borderId="4" xfId="0" applyNumberFormat="1" applyFont="1" applyFill="1" applyBorder="1" applyAlignment="1" applyProtection="1">
      <alignment wrapText="1"/>
      <protection locked="0"/>
    </xf>
    <xf numFmtId="0" fontId="13" fillId="49" borderId="5" xfId="0" applyNumberFormat="1" applyFont="1" applyFill="1" applyBorder="1" applyAlignment="1" applyProtection="1">
      <alignment horizontal="center" vertical="center" wrapText="1"/>
    </xf>
    <xf numFmtId="0" fontId="13" fillId="48" borderId="13" xfId="0" applyNumberFormat="1" applyFont="1" applyFill="1" applyBorder="1" applyAlignment="1" applyProtection="1">
      <alignment vertical="center" wrapText="1"/>
    </xf>
    <xf numFmtId="174" fontId="0" fillId="0" borderId="0" xfId="0" applyNumberFormat="1"/>
    <xf numFmtId="9" fontId="13" fillId="43" borderId="6" xfId="1" applyFont="1" applyFill="1" applyBorder="1" applyAlignment="1" applyProtection="1">
      <alignment horizontal="center" vertical="center" wrapText="1"/>
    </xf>
    <xf numFmtId="0" fontId="0" fillId="0" borderId="4" xfId="0" applyBorder="1"/>
    <xf numFmtId="0" fontId="0" fillId="0" borderId="14" xfId="0" applyBorder="1"/>
    <xf numFmtId="0" fontId="5" fillId="6" borderId="18" xfId="0" applyFont="1" applyFill="1" applyBorder="1" applyAlignment="1">
      <alignment horizontal="left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53" borderId="20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53" borderId="21" xfId="0" applyFont="1" applyFill="1" applyBorder="1" applyAlignment="1">
      <alignment horizontal="center" vertical="center" wrapText="1"/>
    </xf>
    <xf numFmtId="0" fontId="16" fillId="0" borderId="0" xfId="0" applyFont="1"/>
    <xf numFmtId="0" fontId="19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54" borderId="1" xfId="0" applyFont="1" applyFill="1" applyBorder="1" applyAlignment="1">
      <alignment horizontal="center" vertical="center" wrapText="1"/>
    </xf>
    <xf numFmtId="175" fontId="6" fillId="54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75" fontId="6" fillId="0" borderId="1" xfId="0" applyNumberFormat="1" applyFont="1" applyBorder="1" applyAlignment="1">
      <alignment horizontal="center" vertical="center" wrapText="1"/>
    </xf>
    <xf numFmtId="0" fontId="6" fillId="55" borderId="1" xfId="0" applyFont="1" applyFill="1" applyBorder="1" applyAlignment="1">
      <alignment horizontal="center" vertical="center" wrapText="1"/>
    </xf>
    <xf numFmtId="0" fontId="6" fillId="55" borderId="1" xfId="0" applyFont="1" applyFill="1" applyBorder="1" applyAlignment="1">
      <alignment horizontal="left" vertical="center" wrapText="1"/>
    </xf>
    <xf numFmtId="0" fontId="6" fillId="56" borderId="1" xfId="0" applyFont="1" applyFill="1" applyBorder="1" applyAlignment="1">
      <alignment horizontal="left" vertical="center" wrapText="1"/>
    </xf>
    <xf numFmtId="175" fontId="6" fillId="55" borderId="1" xfId="0" applyNumberFormat="1" applyFont="1" applyFill="1" applyBorder="1" applyAlignment="1">
      <alignment horizontal="center" vertical="center" wrapText="1"/>
    </xf>
    <xf numFmtId="2" fontId="6" fillId="56" borderId="1" xfId="0" applyNumberFormat="1" applyFont="1" applyFill="1" applyBorder="1" applyAlignment="1">
      <alignment horizontal="center" vertical="center" wrapText="1"/>
    </xf>
    <xf numFmtId="175" fontId="6" fillId="56" borderId="1" xfId="0" applyNumberFormat="1" applyFont="1" applyFill="1" applyBorder="1" applyAlignment="1">
      <alignment horizontal="center" vertical="center" wrapText="1"/>
    </xf>
    <xf numFmtId="0" fontId="6" fillId="56" borderId="1" xfId="0" applyFont="1" applyFill="1" applyBorder="1" applyAlignment="1">
      <alignment horizontal="center" vertical="center" wrapText="1"/>
    </xf>
    <xf numFmtId="0" fontId="5" fillId="53" borderId="22" xfId="0" applyFont="1" applyFill="1" applyBorder="1" applyAlignment="1">
      <alignment horizontal="center" vertical="center" wrapText="1"/>
    </xf>
    <xf numFmtId="4" fontId="6" fillId="8" borderId="1" xfId="0" applyNumberFormat="1" applyFont="1" applyFill="1" applyBorder="1" applyAlignment="1" applyProtection="1">
      <alignment horizontal="center" vertical="center" wrapText="1"/>
    </xf>
    <xf numFmtId="4" fontId="6" fillId="17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4" fontId="6" fillId="57" borderId="1" xfId="0" applyNumberFormat="1" applyFont="1" applyFill="1" applyBorder="1" applyAlignment="1" applyProtection="1">
      <alignment horizontal="center" vertical="center" wrapText="1"/>
    </xf>
    <xf numFmtId="0" fontId="20" fillId="58" borderId="2" xfId="0" applyNumberFormat="1" applyFont="1" applyFill="1" applyBorder="1" applyAlignment="1" applyProtection="1">
      <alignment horizontal="center" vertical="center" wrapText="1"/>
    </xf>
    <xf numFmtId="0" fontId="0" fillId="0" borderId="0" xfId="0" quotePrefix="1" applyFill="1"/>
    <xf numFmtId="175" fontId="6" fillId="8" borderId="1" xfId="0" applyNumberFormat="1" applyFont="1" applyFill="1" applyBorder="1" applyAlignment="1" applyProtection="1">
      <alignment horizontal="center" vertical="center" wrapText="1"/>
    </xf>
    <xf numFmtId="175" fontId="6" fillId="57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1" fillId="6" borderId="2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/>
    <xf numFmtId="176" fontId="6" fillId="13" borderId="1" xfId="0" applyNumberFormat="1" applyFont="1" applyFill="1" applyBorder="1" applyAlignment="1" applyProtection="1">
      <alignment horizontal="center" vertical="center" wrapText="1"/>
    </xf>
    <xf numFmtId="176" fontId="6" fillId="22" borderId="1" xfId="0" applyNumberFormat="1" applyFont="1" applyFill="1" applyBorder="1" applyAlignment="1" applyProtection="1">
      <alignment horizontal="center" vertical="center" wrapText="1"/>
    </xf>
    <xf numFmtId="0" fontId="0" fillId="0" borderId="4" xfId="0" quotePrefix="1" applyNumberFormat="1" applyFont="1" applyFill="1" applyBorder="1" applyAlignment="1" applyProtection="1">
      <alignment horizontal="left"/>
      <protection locked="0"/>
    </xf>
    <xf numFmtId="0" fontId="16" fillId="54" borderId="23" xfId="0" applyFont="1" applyFill="1" applyBorder="1"/>
    <xf numFmtId="0" fontId="0" fillId="59" borderId="24" xfId="0" applyFill="1" applyBorder="1"/>
    <xf numFmtId="3" fontId="0" fillId="59" borderId="23" xfId="0" applyNumberFormat="1" applyFill="1" applyBorder="1" applyAlignment="1">
      <alignment horizontal="center"/>
    </xf>
    <xf numFmtId="3" fontId="0" fillId="59" borderId="25" xfId="0" applyNumberFormat="1" applyFill="1" applyBorder="1" applyAlignment="1">
      <alignment horizontal="center"/>
    </xf>
    <xf numFmtId="0" fontId="0" fillId="54" borderId="26" xfId="0" applyFill="1" applyBorder="1"/>
    <xf numFmtId="0" fontId="0" fillId="59" borderId="4" xfId="0" applyFill="1" applyBorder="1"/>
    <xf numFmtId="3" fontId="0" fillId="59" borderId="26" xfId="0" applyNumberFormat="1" applyFill="1" applyBorder="1" applyAlignment="1">
      <alignment horizontal="center"/>
    </xf>
    <xf numFmtId="3" fontId="0" fillId="59" borderId="27" xfId="0" applyNumberFormat="1" applyFill="1" applyBorder="1" applyAlignment="1">
      <alignment horizontal="center"/>
    </xf>
    <xf numFmtId="0" fontId="0" fillId="54" borderId="4" xfId="0" applyFill="1" applyBorder="1"/>
    <xf numFmtId="0" fontId="0" fillId="54" borderId="26" xfId="0" applyFill="1" applyBorder="1" applyAlignment="1">
      <alignment horizontal="center"/>
    </xf>
    <xf numFmtId="0" fontId="0" fillId="54" borderId="27" xfId="0" applyFill="1" applyBorder="1" applyAlignment="1">
      <alignment horizontal="center"/>
    </xf>
    <xf numFmtId="0" fontId="0" fillId="54" borderId="28" xfId="0" applyFill="1" applyBorder="1"/>
    <xf numFmtId="0" fontId="0" fillId="54" borderId="29" xfId="0" applyFill="1" applyBorder="1"/>
    <xf numFmtId="0" fontId="0" fillId="54" borderId="28" xfId="0" applyFill="1" applyBorder="1" applyAlignment="1">
      <alignment horizontal="center"/>
    </xf>
    <xf numFmtId="0" fontId="0" fillId="54" borderId="30" xfId="0" applyFill="1" applyBorder="1" applyAlignment="1">
      <alignment horizontal="center"/>
    </xf>
    <xf numFmtId="0" fontId="16" fillId="60" borderId="31" xfId="0" applyFont="1" applyFill="1" applyBorder="1" applyAlignment="1">
      <alignment horizontal="left" vertical="center"/>
    </xf>
    <xf numFmtId="0" fontId="16" fillId="60" borderId="23" xfId="0" applyFont="1" applyFill="1" applyBorder="1" applyAlignment="1">
      <alignment horizontal="center" vertical="center"/>
    </xf>
    <xf numFmtId="0" fontId="16" fillId="60" borderId="25" xfId="0" applyFont="1" applyFill="1" applyBorder="1" applyAlignment="1">
      <alignment horizontal="center" vertical="center"/>
    </xf>
    <xf numFmtId="0" fontId="16" fillId="60" borderId="32" xfId="0" applyFont="1" applyFill="1" applyBorder="1"/>
    <xf numFmtId="0" fontId="16" fillId="60" borderId="28" xfId="0" applyFont="1" applyFill="1" applyBorder="1" applyAlignment="1">
      <alignment horizontal="center"/>
    </xf>
    <xf numFmtId="0" fontId="16" fillId="60" borderId="30" xfId="0" applyFont="1" applyFill="1" applyBorder="1" applyAlignment="1">
      <alignment horizontal="center"/>
    </xf>
    <xf numFmtId="0" fontId="4" fillId="5" borderId="33" xfId="0" applyNumberFormat="1" applyFont="1" applyFill="1" applyBorder="1" applyAlignment="1" applyProtection="1">
      <alignment horizontal="left" vertical="center" wrapText="1"/>
    </xf>
    <xf numFmtId="175" fontId="4" fillId="5" borderId="33" xfId="0" applyNumberFormat="1" applyFont="1" applyFill="1" applyBorder="1" applyAlignment="1" applyProtection="1">
      <alignment horizontal="left" vertical="center" wrapText="1"/>
    </xf>
    <xf numFmtId="176" fontId="23" fillId="13" borderId="1" xfId="0" applyNumberFormat="1" applyFont="1" applyFill="1" applyBorder="1" applyAlignment="1" applyProtection="1">
      <alignment horizontal="center" vertical="center" wrapText="1"/>
    </xf>
    <xf numFmtId="176" fontId="23" fillId="22" borderId="1" xfId="0" applyNumberFormat="1" applyFont="1" applyFill="1" applyBorder="1" applyAlignment="1" applyProtection="1">
      <alignment horizontal="center" vertical="center" wrapText="1"/>
    </xf>
    <xf numFmtId="0" fontId="24" fillId="4" borderId="1" xfId="0" applyNumberFormat="1" applyFont="1" applyFill="1" applyBorder="1" applyAlignment="1" applyProtection="1">
      <alignment horizontal="left" vertical="center" wrapText="1"/>
    </xf>
    <xf numFmtId="0" fontId="25" fillId="35" borderId="0" xfId="0" applyNumberFormat="1" applyFont="1" applyFill="1" applyBorder="1" applyAlignment="1" applyProtection="1">
      <alignment wrapText="1"/>
      <protection locked="0"/>
    </xf>
    <xf numFmtId="0" fontId="25" fillId="0" borderId="0" xfId="0" applyFont="1"/>
    <xf numFmtId="167" fontId="26" fillId="33" borderId="3" xfId="0" applyNumberFormat="1" applyFont="1" applyFill="1" applyBorder="1" applyAlignment="1" applyProtection="1">
      <alignment horizontal="center" vertical="center" wrapText="1"/>
    </xf>
    <xf numFmtId="0" fontId="27" fillId="61" borderId="34" xfId="0" applyFont="1" applyFill="1" applyBorder="1" applyAlignment="1">
      <alignment horizontal="center" vertical="center" wrapText="1"/>
    </xf>
    <xf numFmtId="0" fontId="27" fillId="61" borderId="34" xfId="0" applyFont="1" applyFill="1" applyBorder="1" applyAlignment="1">
      <alignment horizontal="left" vertical="center" wrapText="1"/>
    </xf>
    <xf numFmtId="0" fontId="0" fillId="0" borderId="28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177" fontId="23" fillId="0" borderId="35" xfId="0" applyNumberFormat="1" applyFont="1" applyBorder="1" applyAlignment="1">
      <alignment horizontal="center" vertical="top" wrapText="1"/>
    </xf>
    <xf numFmtId="0" fontId="21" fillId="6" borderId="4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right"/>
    </xf>
    <xf numFmtId="0" fontId="28" fillId="0" borderId="0" xfId="0" applyFont="1"/>
    <xf numFmtId="177" fontId="23" fillId="0" borderId="35" xfId="0" applyNumberFormat="1" applyFont="1" applyFill="1" applyBorder="1" applyAlignment="1">
      <alignment horizontal="center" vertical="top" wrapText="1"/>
    </xf>
    <xf numFmtId="0" fontId="0" fillId="0" borderId="35" xfId="0" applyBorder="1" applyAlignment="1">
      <alignment vertical="top"/>
    </xf>
    <xf numFmtId="0" fontId="0" fillId="0" borderId="35" xfId="0" applyBorder="1" applyAlignment="1">
      <alignment vertical="center"/>
    </xf>
    <xf numFmtId="178" fontId="0" fillId="0" borderId="28" xfId="0" applyNumberFormat="1" applyBorder="1" applyAlignment="1">
      <alignment horizontal="center" vertical="top" wrapText="1"/>
    </xf>
    <xf numFmtId="178" fontId="0" fillId="0" borderId="35" xfId="0" applyNumberFormat="1" applyBorder="1" applyAlignment="1">
      <alignment horizontal="right" vertical="top" wrapText="1"/>
    </xf>
    <xf numFmtId="0" fontId="30" fillId="54" borderId="0" xfId="0" applyFont="1" applyFill="1" applyAlignment="1">
      <alignment vertical="center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37" fontId="0" fillId="35" borderId="0" xfId="0" applyNumberFormat="1" applyFont="1" applyFill="1" applyBorder="1" applyAlignment="1" applyProtection="1">
      <alignment wrapText="1"/>
      <protection locked="0"/>
    </xf>
    <xf numFmtId="0" fontId="4" fillId="5" borderId="1" xfId="0" applyNumberFormat="1" applyFont="1" applyFill="1" applyBorder="1" applyAlignment="1" applyProtection="1">
      <alignment vertical="center" wrapText="1"/>
    </xf>
    <xf numFmtId="10" fontId="6" fillId="8" borderId="1" xfId="1" applyNumberFormat="1" applyFont="1" applyFill="1" applyBorder="1" applyAlignment="1" applyProtection="1">
      <alignment horizontal="center" vertical="center" wrapText="1"/>
    </xf>
    <xf numFmtId="10" fontId="6" fillId="17" borderId="1" xfId="1" applyNumberFormat="1" applyFont="1" applyFill="1" applyBorder="1" applyAlignment="1" applyProtection="1">
      <alignment horizontal="center" vertical="center" wrapText="1"/>
    </xf>
    <xf numFmtId="175" fontId="0" fillId="0" borderId="35" xfId="0" applyNumberFormat="1" applyBorder="1" applyAlignment="1">
      <alignment horizontal="right" vertical="top" wrapText="1"/>
    </xf>
    <xf numFmtId="10" fontId="5" fillId="6" borderId="2" xfId="1" applyNumberFormat="1" applyFont="1" applyFill="1" applyBorder="1" applyAlignment="1" applyProtection="1">
      <alignment horizontal="center" vertical="center" wrapText="1"/>
    </xf>
    <xf numFmtId="2" fontId="6" fillId="9" borderId="1" xfId="0" applyNumberFormat="1" applyFont="1" applyFill="1" applyBorder="1" applyAlignment="1" applyProtection="1">
      <alignment horizontal="center" vertical="center" wrapText="1"/>
    </xf>
    <xf numFmtId="2" fontId="6" fillId="18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4" fillId="5" borderId="36" xfId="0" applyNumberFormat="1" applyFont="1" applyFill="1" applyBorder="1" applyAlignment="1" applyProtection="1">
      <alignment horizontal="center" vertical="center" wrapText="1"/>
    </xf>
    <xf numFmtId="0" fontId="4" fillId="5" borderId="37" xfId="0" applyNumberFormat="1" applyFont="1" applyFill="1" applyBorder="1" applyAlignment="1" applyProtection="1">
      <alignment horizontal="center" vertical="center" wrapText="1"/>
    </xf>
    <xf numFmtId="0" fontId="4" fillId="5" borderId="38" xfId="0" applyNumberFormat="1" applyFont="1" applyFill="1" applyBorder="1" applyAlignment="1" applyProtection="1">
      <alignment horizontal="center" vertical="center" wrapText="1"/>
    </xf>
    <xf numFmtId="0" fontId="4" fillId="5" borderId="39" xfId="0" applyNumberFormat="1" applyFont="1" applyFill="1" applyBorder="1" applyAlignment="1" applyProtection="1">
      <alignment horizontal="center" vertical="center" wrapText="1"/>
    </xf>
    <xf numFmtId="0" fontId="4" fillId="5" borderId="4" xfId="0" applyNumberFormat="1" applyFont="1" applyFill="1" applyBorder="1" applyAlignment="1" applyProtection="1">
      <alignment horizontal="center" vertical="center" wrapText="1"/>
    </xf>
    <xf numFmtId="0" fontId="4" fillId="5" borderId="33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top"/>
    </xf>
    <xf numFmtId="0" fontId="11" fillId="39" borderId="10" xfId="0" applyNumberFormat="1" applyFont="1" applyFill="1" applyBorder="1" applyAlignment="1" applyProtection="1">
      <alignment horizontal="center" vertical="center" wrapText="1"/>
    </xf>
    <xf numFmtId="0" fontId="11" fillId="39" borderId="11" xfId="0" applyNumberFormat="1" applyFont="1" applyFill="1" applyBorder="1" applyAlignment="1" applyProtection="1">
      <alignment horizontal="center" vertical="center" wrapText="1"/>
    </xf>
    <xf numFmtId="0" fontId="11" fillId="39" borderId="12" xfId="0" applyNumberFormat="1" applyFont="1" applyFill="1" applyBorder="1" applyAlignment="1" applyProtection="1">
      <alignment horizontal="center" vertical="center" wrapText="1"/>
    </xf>
    <xf numFmtId="0" fontId="6" fillId="40" borderId="7" xfId="0" applyNumberFormat="1" applyFont="1" applyFill="1" applyBorder="1" applyAlignment="1" applyProtection="1">
      <alignment horizontal="center" vertical="center" wrapText="1"/>
    </xf>
    <xf numFmtId="0" fontId="6" fillId="40" borderId="8" xfId="0" applyNumberFormat="1" applyFont="1" applyFill="1" applyBorder="1" applyAlignment="1" applyProtection="1">
      <alignment horizontal="center" vertical="center" wrapText="1"/>
    </xf>
    <xf numFmtId="0" fontId="6" fillId="40" borderId="9" xfId="0" applyNumberFormat="1" applyFont="1" applyFill="1" applyBorder="1" applyAlignment="1" applyProtection="1">
      <alignment horizontal="center" vertical="center" wrapText="1"/>
    </xf>
    <xf numFmtId="0" fontId="11" fillId="50" borderId="10" xfId="0" applyNumberFormat="1" applyFont="1" applyFill="1" applyBorder="1" applyAlignment="1" applyProtection="1">
      <alignment horizontal="left" vertical="center" wrapText="1"/>
    </xf>
    <xf numFmtId="0" fontId="11" fillId="50" borderId="11" xfId="0" applyNumberFormat="1" applyFont="1" applyFill="1" applyBorder="1" applyAlignment="1" applyProtection="1">
      <alignment horizontal="left" vertical="center" wrapText="1"/>
    </xf>
    <xf numFmtId="0" fontId="11" fillId="50" borderId="12" xfId="0" applyNumberFormat="1" applyFont="1" applyFill="1" applyBorder="1" applyAlignment="1" applyProtection="1">
      <alignment horizontal="left" vertical="center" wrapText="1"/>
    </xf>
    <xf numFmtId="0" fontId="13" fillId="49" borderId="10" xfId="0" applyNumberFormat="1" applyFont="1" applyFill="1" applyBorder="1" applyAlignment="1" applyProtection="1">
      <alignment horizontal="center" vertical="center" wrapText="1"/>
    </xf>
    <xf numFmtId="0" fontId="13" fillId="49" borderId="11" xfId="0" applyNumberFormat="1" applyFont="1" applyFill="1" applyBorder="1" applyAlignment="1" applyProtection="1">
      <alignment horizontal="center" vertical="center" wrapText="1"/>
    </xf>
    <xf numFmtId="0" fontId="13" fillId="49" borderId="12" xfId="0" applyNumberFormat="1" applyFont="1" applyFill="1" applyBorder="1" applyAlignment="1" applyProtection="1">
      <alignment horizontal="center" vertical="center" wrapText="1"/>
    </xf>
    <xf numFmtId="0" fontId="13" fillId="52" borderId="10" xfId="0" applyNumberFormat="1" applyFont="1" applyFill="1" applyBorder="1" applyAlignment="1" applyProtection="1">
      <alignment horizontal="left" vertical="center" wrapText="1"/>
    </xf>
    <xf numFmtId="0" fontId="13" fillId="52" borderId="11" xfId="0" applyNumberFormat="1" applyFont="1" applyFill="1" applyBorder="1" applyAlignment="1" applyProtection="1">
      <alignment horizontal="left" vertical="center" wrapText="1"/>
    </xf>
    <xf numFmtId="0" fontId="13" fillId="52" borderId="12" xfId="0" applyNumberFormat="1" applyFont="1" applyFill="1" applyBorder="1" applyAlignment="1" applyProtection="1">
      <alignment horizontal="left" vertical="center" wrapText="1"/>
    </xf>
    <xf numFmtId="0" fontId="16" fillId="60" borderId="31" xfId="0" applyFont="1" applyFill="1" applyBorder="1" applyAlignment="1">
      <alignment horizontal="center" vertical="center"/>
    </xf>
    <xf numFmtId="0" fontId="16" fillId="60" borderId="32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/>
    </xf>
    <xf numFmtId="0" fontId="18" fillId="53" borderId="15" xfId="0" applyFont="1" applyFill="1" applyBorder="1" applyAlignment="1">
      <alignment horizontal="center"/>
    </xf>
    <xf numFmtId="0" fontId="18" fillId="53" borderId="16" xfId="0" applyFont="1" applyFill="1" applyBorder="1" applyAlignment="1">
      <alignment horizontal="center"/>
    </xf>
    <xf numFmtId="184" fontId="0" fillId="0" borderId="35" xfId="0" applyNumberFormat="1" applyBorder="1" applyAlignment="1">
      <alignment vertical="center"/>
    </xf>
  </cellXfs>
  <cellStyles count="9">
    <cellStyle name="20% - Accent3 2" xfId="7" xr:uid="{7DE2C5DB-48C8-4673-BCA5-949E1D47A8A9}"/>
    <cellStyle name="40% - Accent3 2" xfId="8" xr:uid="{76C4FF60-AD3F-4B62-8408-6B9534947397}"/>
    <cellStyle name="60% - Accent1 2" xfId="6" xr:uid="{DA8DBAAB-B67D-403F-B54D-41C55A0BACA5}"/>
    <cellStyle name="Normal" xfId="0" builtinId="0"/>
    <cellStyle name="Normal 2" xfId="2" xr:uid="{250CBD89-430F-453C-AE98-8A96CE192956}"/>
    <cellStyle name="Normal 3" xfId="3" xr:uid="{83C2A461-C912-4CA3-B806-56BA2AFEBD28}"/>
    <cellStyle name="Normal 4" xfId="5" xr:uid="{DCF1CE71-B047-431B-AACC-4C1E5074953D}"/>
    <cellStyle name="Percent" xfId="1" builtinId="5"/>
    <cellStyle name="Percent 2" xfId="4" xr:uid="{4C37893A-298D-4CDA-AF8C-0722A051480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G\Clients\Cascade%20Natural%20Gas\3XXXX.40.00%202022-2023%20Biennial%20Planning%20Support\UG-190957,%20CNGC%202020%20Conservation%20ARpt%20WP-2,%206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Laron%20T\WA%20CPI\Tools_103006\Comml_Measures_C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Laron%20T\WA%20CPI\Tools_103006\DaveB\loadprofi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ison.spector\Local%20Settings\Temporary%20Internet%20Files\OLKE1\Cost%20Effectiveness%20calculation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ison.spector\Local%20Settings\Temporary%20Internet%20Files\OLKE1\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IRST YEAR"/>
      <sheetName val="APP 2885"/>
    </sheetNames>
    <sheetDataSet>
      <sheetData sheetId="0"/>
      <sheetData sheetId="1">
        <row r="10">
          <cell r="B10">
            <v>1</v>
          </cell>
          <cell r="C10">
            <v>0.31556297476325346</v>
          </cell>
          <cell r="D10">
            <v>0.32954241454526556</v>
          </cell>
          <cell r="E10"/>
          <cell r="F10">
            <v>0.31556297476325346</v>
          </cell>
          <cell r="G10" t="str">
            <v>5%</v>
          </cell>
          <cell r="H10">
            <v>0.33134112350141615</v>
          </cell>
        </row>
        <row r="11">
          <cell r="B11">
            <v>2</v>
          </cell>
          <cell r="C11">
            <v>0.50433702880809039</v>
          </cell>
          <cell r="D11">
            <v>0.5500110459361528</v>
          </cell>
          <cell r="E11"/>
          <cell r="F11">
            <v>0.81990000357134385</v>
          </cell>
          <cell r="G11" t="str">
            <v>5%</v>
          </cell>
          <cell r="H11">
            <v>0.86089500374991113</v>
          </cell>
        </row>
        <row r="12">
          <cell r="B12">
            <v>3</v>
          </cell>
          <cell r="C12">
            <v>0.49228077956990179</v>
          </cell>
          <cell r="D12">
            <v>0.56064598155358059</v>
          </cell>
          <cell r="E12"/>
          <cell r="F12">
            <v>1.3121807831412458</v>
          </cell>
          <cell r="G12" t="str">
            <v>5%</v>
          </cell>
          <cell r="H12">
            <v>1.377789822298308</v>
          </cell>
        </row>
        <row r="13">
          <cell r="B13">
            <v>4</v>
          </cell>
          <cell r="C13">
            <v>0.56317576185891938</v>
          </cell>
          <cell r="D13">
            <v>0.66979988285132508</v>
          </cell>
          <cell r="E13"/>
          <cell r="F13">
            <v>1.875356545000165</v>
          </cell>
          <cell r="G13" t="str">
            <v>5%</v>
          </cell>
          <cell r="H13">
            <v>1.9691243722501734</v>
          </cell>
        </row>
        <row r="14">
          <cell r="B14">
            <v>5</v>
          </cell>
          <cell r="C14">
            <v>0.55160362014714803</v>
          </cell>
          <cell r="D14">
            <v>0.68509925899553203</v>
          </cell>
          <cell r="E14"/>
          <cell r="F14">
            <v>2.4269601651473129</v>
          </cell>
          <cell r="G14" t="str">
            <v>7.5%</v>
          </cell>
          <cell r="H14">
            <v>2.6089821775333615</v>
          </cell>
        </row>
        <row r="15">
          <cell r="B15">
            <v>6</v>
          </cell>
          <cell r="C15">
            <v>0.54311984730374618</v>
          </cell>
          <cell r="D15">
            <v>0.7044454065556387</v>
          </cell>
          <cell r="E15"/>
          <cell r="F15">
            <v>2.9700800124510591</v>
          </cell>
          <cell r="G15" t="str">
            <v>7.5%</v>
          </cell>
          <cell r="H15">
            <v>3.1928360133848885</v>
          </cell>
        </row>
        <row r="16">
          <cell r="B16">
            <v>7</v>
          </cell>
          <cell r="C16">
            <v>0.5176150545297471</v>
          </cell>
          <cell r="D16">
            <v>0.70110626038314861</v>
          </cell>
          <cell r="E16"/>
          <cell r="F16">
            <v>3.4876950669808062</v>
          </cell>
          <cell r="G16" t="str">
            <v>7.5%</v>
          </cell>
          <cell r="H16">
            <v>3.7492721970043665</v>
          </cell>
        </row>
        <row r="17">
          <cell r="B17">
            <v>8</v>
          </cell>
          <cell r="C17">
            <v>0.50785774243059956</v>
          </cell>
          <cell r="D17">
            <v>0.71836357288184671</v>
          </cell>
          <cell r="E17"/>
          <cell r="F17">
            <v>3.9955528094114059</v>
          </cell>
          <cell r="G17" t="str">
            <v>7.5%</v>
          </cell>
          <cell r="H17">
            <v>4.2952192701172613</v>
          </cell>
        </row>
        <row r="18">
          <cell r="B18">
            <v>9</v>
          </cell>
          <cell r="C18">
            <v>0.47789440756542234</v>
          </cell>
          <cell r="D18">
            <v>0.70592644318628128</v>
          </cell>
          <cell r="E18"/>
          <cell r="F18">
            <v>4.4734472169768287</v>
          </cell>
          <cell r="G18" t="str">
            <v>7.5%</v>
          </cell>
          <cell r="H18">
            <v>4.8089557582500904</v>
          </cell>
        </row>
        <row r="19">
          <cell r="B19">
            <v>10</v>
          </cell>
          <cell r="C19">
            <v>0.46958916400847045</v>
          </cell>
          <cell r="D19">
            <v>0.7243873320445624</v>
          </cell>
          <cell r="E19"/>
          <cell r="F19">
            <v>4.9430363809852995</v>
          </cell>
          <cell r="G19" t="str">
            <v>10.0%</v>
          </cell>
          <cell r="H19">
            <v>5.4373400190838295</v>
          </cell>
        </row>
        <row r="20">
          <cell r="B20">
            <v>11</v>
          </cell>
          <cell r="C20">
            <v>0.45766623322992833</v>
          </cell>
          <cell r="D20">
            <v>0.73727062255942921</v>
          </cell>
          <cell r="E20"/>
          <cell r="F20">
            <v>5.4007026142152279</v>
          </cell>
          <cell r="G20" t="str">
            <v>10%</v>
          </cell>
          <cell r="H20">
            <v>5.9407728756367515</v>
          </cell>
        </row>
        <row r="21">
          <cell r="B21">
            <v>12</v>
          </cell>
          <cell r="C21">
            <v>0.44717748162136667</v>
          </cell>
          <cell r="D21">
            <v>0.75228648873143189</v>
          </cell>
          <cell r="E21"/>
          <cell r="F21">
            <v>5.8478800958365946</v>
          </cell>
          <cell r="G21" t="str">
            <v>10%</v>
          </cell>
          <cell r="H21">
            <v>6.4326681054202544</v>
          </cell>
        </row>
        <row r="22">
          <cell r="B22">
            <v>13</v>
          </cell>
          <cell r="C22">
            <v>0.43436293236281071</v>
          </cell>
          <cell r="D22">
            <v>0.76309985392017254</v>
          </cell>
          <cell r="E22"/>
          <cell r="F22">
            <v>6.2822430281994057</v>
          </cell>
          <cell r="G22" t="str">
            <v>10%</v>
          </cell>
          <cell r="H22">
            <v>6.9104673310193467</v>
          </cell>
        </row>
        <row r="23">
          <cell r="B23">
            <v>14</v>
          </cell>
          <cell r="C23">
            <v>0.42442899674443824</v>
          </cell>
          <cell r="D23">
            <v>0.77867985448294341</v>
          </cell>
          <cell r="E23"/>
          <cell r="F23">
            <v>6.7066720249438436</v>
          </cell>
          <cell r="G23" t="str">
            <v>10%</v>
          </cell>
          <cell r="H23">
            <v>7.3773392274382283</v>
          </cell>
        </row>
        <row r="24">
          <cell r="B24">
            <v>15</v>
          </cell>
          <cell r="C24">
            <v>0.41475224885854761</v>
          </cell>
          <cell r="D24">
            <v>0.79463542042491175</v>
          </cell>
          <cell r="E24"/>
          <cell r="F24">
            <v>7.1214242738023916</v>
          </cell>
          <cell r="G24" t="str">
            <v>12.5%</v>
          </cell>
          <cell r="H24">
            <v>8.0116023080276904</v>
          </cell>
        </row>
        <row r="25">
          <cell r="B25">
            <v>16</v>
          </cell>
          <cell r="C25">
            <v>0.40369945905691779</v>
          </cell>
          <cell r="D25">
            <v>0.8077233085395078</v>
          </cell>
          <cell r="E25"/>
          <cell r="F25">
            <v>7.525123732859309</v>
          </cell>
          <cell r="G25" t="str">
            <v>12.5%</v>
          </cell>
          <cell r="H25">
            <v>8.4657641994667223</v>
          </cell>
        </row>
        <row r="26">
          <cell r="B26">
            <v>17</v>
          </cell>
          <cell r="C26">
            <v>0.39196314917160363</v>
          </cell>
          <cell r="D26">
            <v>0.81898314585805743</v>
          </cell>
          <cell r="E26"/>
          <cell r="F26">
            <v>7.9170868820309126</v>
          </cell>
          <cell r="G26" t="str">
            <v>12.5%</v>
          </cell>
          <cell r="H26">
            <v>8.9067227422847761</v>
          </cell>
        </row>
        <row r="27">
          <cell r="B27">
            <v>18</v>
          </cell>
          <cell r="C27">
            <v>0.38301839622149897</v>
          </cell>
          <cell r="D27">
            <v>0.83574663669590832</v>
          </cell>
          <cell r="E27"/>
          <cell r="F27">
            <v>8.3001052782524116</v>
          </cell>
          <cell r="G27" t="str">
            <v>12.5%</v>
          </cell>
          <cell r="H27">
            <v>9.3376184380339637</v>
          </cell>
        </row>
        <row r="28">
          <cell r="B28">
            <v>19</v>
          </cell>
          <cell r="C28">
            <v>0.37016343023976706</v>
          </cell>
          <cell r="D28">
            <v>0.84347806510542278</v>
          </cell>
          <cell r="E28"/>
          <cell r="F28">
            <v>8.6702687084921788</v>
          </cell>
          <cell r="G28" t="str">
            <v>12.5%</v>
          </cell>
          <cell r="H28">
            <v>9.7540522970537005</v>
          </cell>
        </row>
        <row r="29">
          <cell r="B29">
            <v>20</v>
          </cell>
          <cell r="C29">
            <v>0.3603999134660974</v>
          </cell>
          <cell r="D29">
            <v>0.85761079328960488</v>
          </cell>
          <cell r="E29"/>
          <cell r="F29">
            <v>9.0306686219582755</v>
          </cell>
          <cell r="G29" t="str">
            <v>12.5%</v>
          </cell>
          <cell r="H29">
            <v>10.159502199703059</v>
          </cell>
        </row>
        <row r="30">
          <cell r="B30">
            <v>21</v>
          </cell>
          <cell r="C30">
            <v>0.35201370462072151</v>
          </cell>
          <cell r="D30">
            <v>0.87476300915539729</v>
          </cell>
          <cell r="E30"/>
          <cell r="F30">
            <v>9.3826823265789976</v>
          </cell>
          <cell r="G30" t="str">
            <v>15%</v>
          </cell>
          <cell r="H30">
            <v>10.790084675565847</v>
          </cell>
        </row>
        <row r="31">
          <cell r="B31">
            <v>22</v>
          </cell>
          <cell r="C31">
            <v>0.34382263594095175</v>
          </cell>
          <cell r="D31">
            <v>0.89225826933850505</v>
          </cell>
          <cell r="E31"/>
          <cell r="F31">
            <v>9.7265049625199502</v>
          </cell>
          <cell r="G31" t="str">
            <v>15%</v>
          </cell>
          <cell r="H31">
            <v>11.185480706897941</v>
          </cell>
        </row>
        <row r="32">
          <cell r="B32">
            <v>23</v>
          </cell>
          <cell r="C32">
            <v>0.33582216667602299</v>
          </cell>
          <cell r="D32">
            <v>0.91010343472527522</v>
          </cell>
          <cell r="E32"/>
          <cell r="F32">
            <v>10.062327129195973</v>
          </cell>
          <cell r="G32" t="str">
            <v>15%</v>
          </cell>
          <cell r="H32">
            <v>11.571676198575368</v>
          </cell>
        </row>
        <row r="33">
          <cell r="B33">
            <v>24</v>
          </cell>
          <cell r="C33">
            <v>0.32800786173469643</v>
          </cell>
          <cell r="D33">
            <v>0.92830550341978069</v>
          </cell>
          <cell r="E33"/>
          <cell r="F33">
            <v>10.390334990930668</v>
          </cell>
          <cell r="G33" t="str">
            <v>15%</v>
          </cell>
          <cell r="H33">
            <v>11.948885239570268</v>
          </cell>
        </row>
        <row r="34">
          <cell r="B34">
            <v>25</v>
          </cell>
          <cell r="C34">
            <v>0.32037538922664982</v>
          </cell>
          <cell r="D34">
            <v>0.9468716134881765</v>
          </cell>
          <cell r="E34"/>
          <cell r="F34">
            <v>10.710710380157318</v>
          </cell>
          <cell r="G34" t="str">
            <v>15%</v>
          </cell>
          <cell r="H34">
            <v>12.317316937180914</v>
          </cell>
        </row>
        <row r="35">
          <cell r="B35">
            <v>26</v>
          </cell>
          <cell r="C35">
            <v>0.31292051806107712</v>
          </cell>
          <cell r="D35">
            <v>0.96580904575794002</v>
          </cell>
          <cell r="E35"/>
          <cell r="F35">
            <v>11.023630898218395</v>
          </cell>
          <cell r="G35" t="str">
            <v>17.5%</v>
          </cell>
          <cell r="H35">
            <v>12.952766305406614</v>
          </cell>
        </row>
        <row r="36">
          <cell r="B36">
            <v>27</v>
          </cell>
          <cell r="C36">
            <v>0.30563911560116697</v>
          </cell>
          <cell r="D36">
            <v>0.98512522667309899</v>
          </cell>
          <cell r="E36"/>
          <cell r="F36">
            <v>11.329270013819562</v>
          </cell>
          <cell r="G36" t="str">
            <v>17.5%</v>
          </cell>
          <cell r="H36">
            <v>13.311892266237985</v>
          </cell>
        </row>
        <row r="37">
          <cell r="B37">
            <v>28</v>
          </cell>
          <cell r="C37">
            <v>0.29852714537315933</v>
          </cell>
          <cell r="D37">
            <v>1.0048277312065605</v>
          </cell>
          <cell r="E37"/>
          <cell r="F37">
            <v>11.62779715919272</v>
          </cell>
          <cell r="G37" t="str">
            <v>17.5%</v>
          </cell>
          <cell r="H37">
            <v>13.662661662051446</v>
          </cell>
        </row>
        <row r="38">
          <cell r="B38">
            <v>29</v>
          </cell>
          <cell r="C38">
            <v>0.2915806648287107</v>
          </cell>
          <cell r="D38">
            <v>1.0249242858306922</v>
          </cell>
          <cell r="E38"/>
          <cell r="F38">
            <v>11.919377824021431</v>
          </cell>
          <cell r="G38" t="str">
            <v>17.5%</v>
          </cell>
          <cell r="H38">
            <v>14.005268943225182</v>
          </cell>
        </row>
        <row r="39">
          <cell r="B39">
            <v>30</v>
          </cell>
          <cell r="C39">
            <v>0.28479582315932678</v>
          </cell>
          <cell r="D39">
            <v>1.0454227715473059</v>
          </cell>
          <cell r="E39"/>
          <cell r="F39">
            <v>12.204173647180758</v>
          </cell>
          <cell r="G39" t="str">
            <v>17.5%</v>
          </cell>
          <cell r="H39">
            <v>14.339904035437391</v>
          </cell>
        </row>
        <row r="40">
          <cell r="B40"/>
          <cell r="C40"/>
          <cell r="D40"/>
          <cell r="E40"/>
          <cell r="F40"/>
          <cell r="G40"/>
          <cell r="H40"/>
        </row>
        <row r="41">
          <cell r="B41"/>
          <cell r="C41"/>
          <cell r="D41"/>
          <cell r="E41"/>
          <cell r="F41"/>
          <cell r="G41"/>
          <cell r="H41"/>
        </row>
        <row r="42">
          <cell r="B42"/>
          <cell r="C42"/>
          <cell r="D42"/>
          <cell r="E42"/>
          <cell r="F42"/>
          <cell r="G42"/>
          <cell r="H42"/>
        </row>
        <row r="43">
          <cell r="B43"/>
          <cell r="C43"/>
          <cell r="D43"/>
          <cell r="E43"/>
          <cell r="F43"/>
          <cell r="G43"/>
          <cell r="H43"/>
        </row>
        <row r="44">
          <cell r="B44"/>
          <cell r="C44"/>
          <cell r="D44"/>
          <cell r="E44"/>
          <cell r="F44"/>
          <cell r="G44"/>
          <cell r="H44"/>
        </row>
        <row r="45">
          <cell r="B45"/>
          <cell r="C45"/>
          <cell r="D45"/>
          <cell r="E45"/>
          <cell r="F45"/>
          <cell r="G45"/>
          <cell r="H45"/>
        </row>
        <row r="46">
          <cell r="B46"/>
          <cell r="C46"/>
          <cell r="D46"/>
          <cell r="E46"/>
          <cell r="F46"/>
          <cell r="G46"/>
          <cell r="H46"/>
        </row>
        <row r="47">
          <cell r="B47"/>
          <cell r="C47"/>
          <cell r="D47"/>
          <cell r="E47"/>
          <cell r="F47"/>
          <cell r="G47"/>
          <cell r="H47"/>
        </row>
        <row r="48">
          <cell r="B48"/>
          <cell r="C48"/>
          <cell r="D48"/>
          <cell r="E48"/>
          <cell r="F48"/>
          <cell r="G48"/>
          <cell r="H48"/>
        </row>
        <row r="49">
          <cell r="B49"/>
          <cell r="C49"/>
          <cell r="D49"/>
          <cell r="E49"/>
          <cell r="F49"/>
          <cell r="G49"/>
          <cell r="H49"/>
        </row>
        <row r="50">
          <cell r="B50"/>
          <cell r="C50"/>
          <cell r="D50"/>
          <cell r="E50"/>
          <cell r="F50"/>
          <cell r="G50"/>
          <cell r="H50"/>
        </row>
        <row r="51">
          <cell r="B51"/>
          <cell r="C51"/>
          <cell r="D51"/>
          <cell r="E51"/>
          <cell r="F51"/>
          <cell r="G51"/>
          <cell r="H51"/>
        </row>
        <row r="52">
          <cell r="B52"/>
          <cell r="C52"/>
          <cell r="D52"/>
          <cell r="E52"/>
          <cell r="F52"/>
          <cell r="G52"/>
          <cell r="H52"/>
        </row>
        <row r="53">
          <cell r="B53"/>
          <cell r="C53"/>
          <cell r="D53"/>
          <cell r="E53"/>
          <cell r="F53"/>
          <cell r="G53"/>
          <cell r="H53"/>
        </row>
        <row r="54">
          <cell r="B54"/>
          <cell r="C54"/>
          <cell r="D54"/>
          <cell r="E54"/>
          <cell r="F54"/>
          <cell r="G54"/>
          <cell r="H54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Summary"/>
      <sheetName val="Results"/>
      <sheetName val="ECMs"/>
      <sheetName val="Applicability"/>
      <sheetName val="AppFuelSat"/>
      <sheetName val="Penetration"/>
      <sheetName val="TechPopRat"/>
      <sheetName val="AchievePopRat"/>
      <sheetName val="MeasElecSavings"/>
      <sheetName val="MeasGasSavings"/>
      <sheetName val="MeasureCost"/>
      <sheetName val="O_M"/>
      <sheetName val="SmOffice"/>
      <sheetName val="LgOffice"/>
      <sheetName val="Restaurant"/>
      <sheetName val="Retail"/>
      <sheetName val="Grocery"/>
      <sheetName val="School"/>
      <sheetName val="Warehouse"/>
      <sheetName val="College"/>
      <sheetName val="Hospital"/>
      <sheetName val="OtherHealth"/>
      <sheetName val="Lodging"/>
      <sheetName val="Other"/>
      <sheetName val="Characteristics"/>
      <sheetName val="Population"/>
      <sheetName val="EUIS"/>
      <sheetName val="Consta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>
            <v>5.1742837700707422E-2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 Profiles"/>
      <sheetName val="loadprofiles"/>
    </sheetNames>
    <sheetDataSet>
      <sheetData sheetId="0">
        <row r="2">
          <cell r="G2" t="str">
            <v>Index</v>
          </cell>
          <cell r="H2" t="str">
            <v>FLAT</v>
          </cell>
          <cell r="I2" t="str">
            <v>ExLgOffGasHt</v>
          </cell>
          <cell r="J2" t="str">
            <v>NewCommLight</v>
          </cell>
          <cell r="K2" t="str">
            <v>Off Peak</v>
          </cell>
          <cell r="M2" t="str">
            <v>ResDHW</v>
          </cell>
          <cell r="N2" t="str">
            <v>ResSpHtHPZ1</v>
          </cell>
          <cell r="O2" t="str">
            <v>ResSH</v>
          </cell>
          <cell r="P2" t="str">
            <v>SmComWX</v>
          </cell>
          <cell r="Q2" t="str">
            <v>SolarDHWZ3W</v>
          </cell>
          <cell r="Y2" t="str">
            <v>Gas Load Profile</v>
          </cell>
        </row>
        <row r="3">
          <cell r="A3" t="str">
            <v>Flat</v>
          </cell>
          <cell r="B3">
            <v>1.1763812993321188E-4</v>
          </cell>
          <cell r="C3">
            <v>1.1763812993321188E-4</v>
          </cell>
          <cell r="D3">
            <v>2</v>
          </cell>
          <cell r="G3" t="str">
            <v>Index</v>
          </cell>
          <cell r="H3" t="str">
            <v>Flat</v>
          </cell>
          <cell r="I3" t="str">
            <v>HVAC</v>
          </cell>
          <cell r="J3" t="str">
            <v>On Peak</v>
          </cell>
          <cell r="K3" t="str">
            <v>Off Peak</v>
          </cell>
          <cell r="L3" t="str">
            <v>Res Cooling</v>
          </cell>
          <cell r="M3" t="str">
            <v>Res DHW</v>
          </cell>
          <cell r="N3" t="str">
            <v>Res HP</v>
          </cell>
          <cell r="O3" t="str">
            <v>ResSH</v>
          </cell>
          <cell r="P3" t="str">
            <v>Shell Wx</v>
          </cell>
          <cell r="Q3" t="str">
            <v>Solar DHW</v>
          </cell>
          <cell r="Y3" t="str">
            <v>Load Profile</v>
          </cell>
          <cell r="Z3" t="str">
            <v>Capacity Factor</v>
          </cell>
          <cell r="AB3">
            <v>2004</v>
          </cell>
          <cell r="AC3">
            <v>0</v>
          </cell>
        </row>
        <row r="4">
          <cell r="A4" t="str">
            <v>HVAC</v>
          </cell>
          <cell r="B4">
            <v>2.4798087477391641E-4</v>
          </cell>
          <cell r="C4">
            <v>2.1597075847529313E-4</v>
          </cell>
          <cell r="D4">
            <v>3</v>
          </cell>
          <cell r="G4">
            <v>1</v>
          </cell>
          <cell r="H4">
            <v>4.5200742747461393E-2</v>
          </cell>
          <cell r="I4">
            <v>5.0832409242958218E-2</v>
          </cell>
          <cell r="J4">
            <v>6.2898578839727964E-2</v>
          </cell>
          <cell r="K4">
            <v>3.233352402940598E-2</v>
          </cell>
          <cell r="L4">
            <v>6.418585588333206E-2</v>
          </cell>
          <cell r="M4">
            <v>5.3929403121569665E-2</v>
          </cell>
          <cell r="N4">
            <v>5.4783675154386841E-2</v>
          </cell>
          <cell r="O4">
            <v>5.1223986971486765E-2</v>
          </cell>
          <cell r="P4">
            <v>4.6085668233944374E-2</v>
          </cell>
          <cell r="Q4">
            <v>5.6024259880257429E-2</v>
          </cell>
          <cell r="Y4" t="str">
            <v>Existing Process</v>
          </cell>
          <cell r="Z4">
            <v>1</v>
          </cell>
          <cell r="AB4">
            <v>2005</v>
          </cell>
          <cell r="AC4">
            <v>1</v>
          </cell>
          <cell r="AD4">
            <v>4.2938147835148658E-3</v>
          </cell>
          <cell r="AE4">
            <v>0.67198576340909832</v>
          </cell>
        </row>
        <row r="5">
          <cell r="A5" t="str">
            <v>On Peak</v>
          </cell>
          <cell r="B5">
            <v>1.369382746367748E-4</v>
          </cell>
          <cell r="C5">
            <v>1.7969293569575331E-4</v>
          </cell>
          <cell r="D5">
            <v>4</v>
          </cell>
          <cell r="G5">
            <v>2</v>
          </cell>
          <cell r="H5">
            <v>9.2800359841590435E-2</v>
          </cell>
          <cell r="I5">
            <v>0.10561538324464102</v>
          </cell>
          <cell r="J5">
            <v>0.13009902431398201</v>
          </cell>
          <cell r="K5">
            <v>6.4526667453299658E-2</v>
          </cell>
          <cell r="L5">
            <v>0.14294269433272935</v>
          </cell>
          <cell r="M5">
            <v>0.1080724123252276</v>
          </cell>
          <cell r="N5">
            <v>0.11274004765260676</v>
          </cell>
          <cell r="O5">
            <v>0.1036505579241048</v>
          </cell>
          <cell r="P5">
            <v>9.2728877179108299E-2</v>
          </cell>
          <cell r="Q5">
            <v>0.1212450513222444</v>
          </cell>
          <cell r="Y5" t="str">
            <v>Existing Space Heat</v>
          </cell>
          <cell r="Z5">
            <v>0.1429</v>
          </cell>
          <cell r="AB5">
            <v>2006</v>
          </cell>
          <cell r="AC5">
            <v>2</v>
          </cell>
          <cell r="AD5">
            <v>8.4625670005195885E-3</v>
          </cell>
          <cell r="AE5">
            <v>1.2925750169972638</v>
          </cell>
        </row>
        <row r="6">
          <cell r="A6" t="str">
            <v>Off Peak</v>
          </cell>
          <cell r="B6">
            <v>0</v>
          </cell>
          <cell r="C6">
            <v>0</v>
          </cell>
          <cell r="D6">
            <v>5</v>
          </cell>
          <cell r="G6">
            <v>3</v>
          </cell>
          <cell r="H6">
            <v>0.14039997693571948</v>
          </cell>
          <cell r="I6">
            <v>0.16039835724632384</v>
          </cell>
          <cell r="J6">
            <v>0.19729946978823609</v>
          </cell>
          <cell r="K6">
            <v>9.6719810877193335E-2</v>
          </cell>
          <cell r="L6">
            <v>0.22169953278212665</v>
          </cell>
          <cell r="M6">
            <v>0.16221542152888554</v>
          </cell>
          <cell r="N6">
            <v>0.17069642015082667</v>
          </cell>
          <cell r="O6">
            <v>0.15607712887672281</v>
          </cell>
          <cell r="P6">
            <v>0.13937208612427221</v>
          </cell>
          <cell r="Q6">
            <v>0.18646584276423139</v>
          </cell>
          <cell r="Y6" t="str">
            <v>New Process</v>
          </cell>
          <cell r="Z6">
            <v>1</v>
          </cell>
          <cell r="AB6">
            <v>2007</v>
          </cell>
          <cell r="AC6">
            <v>3</v>
          </cell>
          <cell r="AD6">
            <v>1.2509899250038739E-2</v>
          </cell>
          <cell r="AE6">
            <v>1.8659192012449919</v>
          </cell>
        </row>
        <row r="7">
          <cell r="A7" t="str">
            <v>Res Cooling</v>
          </cell>
          <cell r="B7">
            <v>0</v>
          </cell>
          <cell r="C7">
            <v>4.560719657729473E-4</v>
          </cell>
          <cell r="D7">
            <v>6</v>
          </cell>
          <cell r="G7">
            <v>4</v>
          </cell>
          <cell r="H7">
            <v>0.18799959402984853</v>
          </cell>
          <cell r="I7">
            <v>0.21518133124800665</v>
          </cell>
          <cell r="J7">
            <v>0.26449991526249017</v>
          </cell>
          <cell r="K7">
            <v>0.12891295430108701</v>
          </cell>
          <cell r="L7">
            <v>0.30045637123152391</v>
          </cell>
          <cell r="M7">
            <v>0.21635843073254349</v>
          </cell>
          <cell r="N7">
            <v>0.22865279264904659</v>
          </cell>
          <cell r="O7">
            <v>0.20850369982934083</v>
          </cell>
          <cell r="P7">
            <v>0.18601529506943615</v>
          </cell>
          <cell r="Q7">
            <v>0.2516866342062184</v>
          </cell>
          <cell r="Y7" t="str">
            <v>New Space Heat</v>
          </cell>
          <cell r="Z7">
            <v>0.13800000000000001</v>
          </cell>
          <cell r="AB7">
            <v>2008</v>
          </cell>
          <cell r="AC7">
            <v>4</v>
          </cell>
          <cell r="AD7">
            <v>1.643934803597966E-2</v>
          </cell>
          <cell r="AE7">
            <v>2.3958274323329798</v>
          </cell>
        </row>
        <row r="8">
          <cell r="A8" t="str">
            <v>Res DHW</v>
          </cell>
          <cell r="B8">
            <v>1.4471686532932781E-4</v>
          </cell>
          <cell r="C8">
            <v>1.2120037471331203E-4</v>
          </cell>
          <cell r="D8">
            <v>7</v>
          </cell>
          <cell r="G8">
            <v>5</v>
          </cell>
          <cell r="H8">
            <v>0.23559921112397758</v>
          </cell>
          <cell r="I8">
            <v>0.26996430524968945</v>
          </cell>
          <cell r="J8">
            <v>0.33170036073674425</v>
          </cell>
          <cell r="K8">
            <v>0.16110609772498069</v>
          </cell>
          <cell r="L8">
            <v>0.3792132096809212</v>
          </cell>
          <cell r="M8">
            <v>0.27050143993620146</v>
          </cell>
          <cell r="N8">
            <v>0.28660916514726653</v>
          </cell>
          <cell r="O8">
            <v>0.26093027078195885</v>
          </cell>
          <cell r="P8">
            <v>0.23265850401460009</v>
          </cell>
          <cell r="Q8">
            <v>0.3169074256482054</v>
          </cell>
          <cell r="Y8" t="str">
            <v>None</v>
          </cell>
          <cell r="Z8">
            <v>0</v>
          </cell>
          <cell r="AB8">
            <v>2009</v>
          </cell>
          <cell r="AC8">
            <v>5</v>
          </cell>
          <cell r="AD8">
            <v>2.0254346857281526E-2</v>
          </cell>
          <cell r="AE8">
            <v>2.885794940481158</v>
          </cell>
        </row>
        <row r="9">
          <cell r="A9" t="str">
            <v>Res HP</v>
          </cell>
          <cell r="B9">
            <v>1.6717097771270541E-4</v>
          </cell>
          <cell r="C9">
            <v>4.1906621115991547E-5</v>
          </cell>
          <cell r="D9">
            <v>8</v>
          </cell>
          <cell r="G9">
            <v>6</v>
          </cell>
          <cell r="H9">
            <v>0.2831988282181066</v>
          </cell>
          <cell r="I9">
            <v>0.32474727925137226</v>
          </cell>
          <cell r="J9">
            <v>0.39890080621099833</v>
          </cell>
          <cell r="K9">
            <v>0.19329924114887437</v>
          </cell>
          <cell r="L9">
            <v>0.4579700481303185</v>
          </cell>
          <cell r="M9">
            <v>0.3246444491398594</v>
          </cell>
          <cell r="N9">
            <v>0.34456553764548647</v>
          </cell>
          <cell r="O9">
            <v>0.3133568417345769</v>
          </cell>
          <cell r="P9">
            <v>0.27930171295976403</v>
          </cell>
          <cell r="Q9">
            <v>0.3821282170901924</v>
          </cell>
          <cell r="AB9">
            <v>2010</v>
          </cell>
          <cell r="AC9">
            <v>6</v>
          </cell>
          <cell r="AD9">
            <v>2.3958229208060039E-2</v>
          </cell>
          <cell r="AE9">
            <v>3.3390291395899805</v>
          </cell>
        </row>
        <row r="10">
          <cell r="A10" t="str">
            <v>Res SH</v>
          </cell>
          <cell r="B10">
            <v>2.5162728156740127E-4</v>
          </cell>
          <cell r="C10">
            <v>6.9906806433752534E-6</v>
          </cell>
          <cell r="D10">
            <v>9</v>
          </cell>
          <cell r="G10">
            <v>7</v>
          </cell>
          <cell r="H10">
            <v>0.33079844531223562</v>
          </cell>
          <cell r="I10">
            <v>0.37953025325305506</v>
          </cell>
          <cell r="J10">
            <v>0.4661012516852524</v>
          </cell>
          <cell r="K10">
            <v>0.22549238457276805</v>
          </cell>
          <cell r="L10">
            <v>0.53672688657971579</v>
          </cell>
          <cell r="M10">
            <v>0.37878745834351735</v>
          </cell>
          <cell r="N10">
            <v>0.40252191014370642</v>
          </cell>
          <cell r="O10">
            <v>0.36578341268719494</v>
          </cell>
          <cell r="P10">
            <v>0.32594492190492796</v>
          </cell>
          <cell r="Q10">
            <v>0.4473490085321794</v>
          </cell>
          <cell r="AB10">
            <v>2011</v>
          </cell>
          <cell r="AC10">
            <v>7</v>
          </cell>
          <cell r="AD10">
            <v>3.004333220015741E-2</v>
          </cell>
          <cell r="AE10">
            <v>3.7757293698351506</v>
          </cell>
        </row>
        <row r="11">
          <cell r="A11" t="str">
            <v>Shell Wx</v>
          </cell>
          <cell r="B11">
            <v>3.4331518021211006E-4</v>
          </cell>
          <cell r="C11">
            <v>3.1101589120941116E-5</v>
          </cell>
          <cell r="D11">
            <v>10</v>
          </cell>
          <cell r="G11">
            <v>8</v>
          </cell>
          <cell r="H11">
            <v>0.37839806240636464</v>
          </cell>
          <cell r="I11">
            <v>0.43431322725473787</v>
          </cell>
          <cell r="J11">
            <v>0.53330169715950648</v>
          </cell>
          <cell r="K11">
            <v>0.25768552799666172</v>
          </cell>
          <cell r="L11">
            <v>0.61548372502911308</v>
          </cell>
          <cell r="M11">
            <v>0.43293046754717529</v>
          </cell>
          <cell r="N11">
            <v>0.46047828264192636</v>
          </cell>
          <cell r="O11">
            <v>0.41820998363981299</v>
          </cell>
          <cell r="P11">
            <v>0.3725881308500919</v>
          </cell>
          <cell r="Q11">
            <v>0.51256979997416641</v>
          </cell>
          <cell r="AB11">
            <v>2012</v>
          </cell>
          <cell r="AC11">
            <v>8</v>
          </cell>
          <cell r="AD11">
            <v>3.5951199182776214E-2</v>
          </cell>
          <cell r="AE11">
            <v>4.1965035689478638</v>
          </cell>
        </row>
        <row r="12">
          <cell r="A12" t="str">
            <v>Solar DHW</v>
          </cell>
          <cell r="B12">
            <v>1.3535404337832553E-4</v>
          </cell>
          <cell r="C12">
            <v>4.2484080028791884E-4</v>
          </cell>
          <cell r="D12">
            <v>11</v>
          </cell>
          <cell r="G12">
            <v>9</v>
          </cell>
          <cell r="H12">
            <v>0.42599767950049366</v>
          </cell>
          <cell r="I12">
            <v>0.48909620125642067</v>
          </cell>
          <cell r="J12">
            <v>0.60050214263376056</v>
          </cell>
          <cell r="K12">
            <v>0.2898786714205554</v>
          </cell>
          <cell r="L12">
            <v>0.69424056347851038</v>
          </cell>
          <cell r="M12">
            <v>0.48707347675083323</v>
          </cell>
          <cell r="N12">
            <v>0.51843465514014631</v>
          </cell>
          <cell r="O12">
            <v>0.47063655459243103</v>
          </cell>
          <cell r="P12">
            <v>0.41923133979525584</v>
          </cell>
          <cell r="Q12">
            <v>0.57779059141615341</v>
          </cell>
          <cell r="AB12">
            <v>2013</v>
          </cell>
          <cell r="AC12">
            <v>9</v>
          </cell>
          <cell r="AD12">
            <v>4.1686992369784764E-2</v>
          </cell>
          <cell r="AE12">
            <v>4.6019371767205355</v>
          </cell>
        </row>
        <row r="13">
          <cell r="A13" t="str">
            <v>None</v>
          </cell>
          <cell r="B13">
            <v>0</v>
          </cell>
          <cell r="C13">
            <v>0</v>
          </cell>
          <cell r="G13">
            <v>10</v>
          </cell>
          <cell r="H13">
            <v>0.47359729659462274</v>
          </cell>
          <cell r="I13">
            <v>0.54387917525810348</v>
          </cell>
          <cell r="J13">
            <v>0.66770258810801453</v>
          </cell>
          <cell r="K13">
            <v>0.32207181484444908</v>
          </cell>
          <cell r="L13">
            <v>0.77299740192790767</v>
          </cell>
          <cell r="M13">
            <v>0.54121648595449112</v>
          </cell>
          <cell r="N13">
            <v>0.57639102763836614</v>
          </cell>
          <cell r="O13">
            <v>0.52306312554504897</v>
          </cell>
          <cell r="P13">
            <v>0.46587454874041967</v>
          </cell>
          <cell r="Q13">
            <v>0.64301138285814019</v>
          </cell>
          <cell r="AB13">
            <v>2014</v>
          </cell>
          <cell r="AC13">
            <v>10</v>
          </cell>
          <cell r="AD13">
            <v>4.7255723619307625E-2</v>
          </cell>
          <cell r="AE13">
            <v>4.9925939719323766</v>
          </cell>
        </row>
        <row r="14">
          <cell r="G14">
            <v>11</v>
          </cell>
          <cell r="H14">
            <v>0.51056452561162924</v>
          </cell>
          <cell r="I14">
            <v>0.58637420810338148</v>
          </cell>
          <cell r="J14">
            <v>0.7193195730327191</v>
          </cell>
          <cell r="K14">
            <v>0.3474697002333077</v>
          </cell>
          <cell r="L14">
            <v>0.83607430640049629</v>
          </cell>
          <cell r="M14">
            <v>0.58313720399169633</v>
          </cell>
          <cell r="N14">
            <v>0.62025291673152338</v>
          </cell>
          <cell r="O14">
            <v>0.562702017066261</v>
          </cell>
          <cell r="P14">
            <v>0.50128141406669102</v>
          </cell>
          <cell r="Q14">
            <v>0.6947101600536506</v>
          </cell>
          <cell r="AB14">
            <v>2015</v>
          </cell>
          <cell r="AC14">
            <v>11</v>
          </cell>
          <cell r="AD14">
            <v>5.2662258813019142E-2</v>
          </cell>
          <cell r="AE14">
            <v>5.3690168780115872</v>
          </cell>
        </row>
        <row r="15">
          <cell r="G15">
            <v>12</v>
          </cell>
          <cell r="H15">
            <v>0.54753175462863579</v>
          </cell>
          <cell r="I15">
            <v>0.62886924094865948</v>
          </cell>
          <cell r="J15">
            <v>0.77093655795742366</v>
          </cell>
          <cell r="K15">
            <v>0.37286758562216632</v>
          </cell>
          <cell r="L15">
            <v>0.89915121087308503</v>
          </cell>
          <cell r="M15">
            <v>0.62505792202890154</v>
          </cell>
          <cell r="N15">
            <v>0.66411480582468063</v>
          </cell>
          <cell r="O15">
            <v>0.60234090858747302</v>
          </cell>
          <cell r="P15">
            <v>0.53668827939296238</v>
          </cell>
          <cell r="Q15">
            <v>0.74640893724916102</v>
          </cell>
          <cell r="AB15">
            <v>2016</v>
          </cell>
          <cell r="AC15">
            <v>12</v>
          </cell>
          <cell r="AD15">
            <v>5.7911322107884695E-2</v>
          </cell>
          <cell r="AE15">
            <v>5.7351786184490807</v>
          </cell>
        </row>
        <row r="16">
          <cell r="G16">
            <v>13</v>
          </cell>
          <cell r="H16">
            <v>0.58449898364564234</v>
          </cell>
          <cell r="I16">
            <v>0.67136427379393748</v>
          </cell>
          <cell r="J16">
            <v>0.82255354288212823</v>
          </cell>
          <cell r="K16">
            <v>0.39826547101102494</v>
          </cell>
          <cell r="L16">
            <v>0.96222811534567376</v>
          </cell>
          <cell r="M16">
            <v>0.66697864006610674</v>
          </cell>
          <cell r="N16">
            <v>0.70797669491783788</v>
          </cell>
          <cell r="O16">
            <v>0.64197980010868505</v>
          </cell>
          <cell r="P16">
            <v>0.57209514471923373</v>
          </cell>
          <cell r="Q16">
            <v>0.79810771444467143</v>
          </cell>
          <cell r="AB16">
            <v>2017</v>
          </cell>
          <cell r="AC16">
            <v>13</v>
          </cell>
          <cell r="AD16">
            <v>7.7967869911907683E-2</v>
          </cell>
          <cell r="AE16">
            <v>6.0913591768809345</v>
          </cell>
        </row>
        <row r="17">
          <cell r="G17">
            <v>14</v>
          </cell>
          <cell r="H17">
            <v>0.6214662126626489</v>
          </cell>
          <cell r="I17">
            <v>0.71385930663921549</v>
          </cell>
          <cell r="J17">
            <v>0.8741705278068328</v>
          </cell>
          <cell r="K17">
            <v>0.42366335639988356</v>
          </cell>
          <cell r="L17">
            <v>1.0253050198182625</v>
          </cell>
          <cell r="M17">
            <v>0.70889935810331195</v>
          </cell>
          <cell r="N17">
            <v>0.75183858401099513</v>
          </cell>
          <cell r="O17">
            <v>0.68161869162989708</v>
          </cell>
          <cell r="P17">
            <v>0.60750201004550508</v>
          </cell>
          <cell r="Q17">
            <v>0.84980649164018185</v>
          </cell>
          <cell r="AB17">
            <v>2018</v>
          </cell>
          <cell r="AC17">
            <v>14</v>
          </cell>
          <cell r="AD17">
            <v>0.13449797051354906</v>
          </cell>
          <cell r="AE17">
            <v>6.4378308896932648</v>
          </cell>
        </row>
        <row r="18">
          <cell r="G18">
            <v>15</v>
          </cell>
          <cell r="H18">
            <v>0.65843344167965545</v>
          </cell>
          <cell r="I18">
            <v>0.75635433948449349</v>
          </cell>
          <cell r="J18">
            <v>0.92578751273153737</v>
          </cell>
          <cell r="K18">
            <v>0.44906124178874218</v>
          </cell>
          <cell r="L18">
            <v>1.0883819242908512</v>
          </cell>
          <cell r="M18">
            <v>0.75082007614051716</v>
          </cell>
          <cell r="N18">
            <v>0.79570047310415237</v>
          </cell>
          <cell r="O18">
            <v>0.72125758315110911</v>
          </cell>
          <cell r="P18">
            <v>0.64290887537177643</v>
          </cell>
          <cell r="Q18">
            <v>0.90150526883569226</v>
          </cell>
          <cell r="AB18">
            <v>2019</v>
          </cell>
          <cell r="AC18">
            <v>15</v>
          </cell>
          <cell r="AD18">
            <v>0.15340319042496672</v>
          </cell>
          <cell r="AE18">
            <v>6.7748586551136309</v>
          </cell>
        </row>
        <row r="19">
          <cell r="G19">
            <v>16</v>
          </cell>
          <cell r="H19">
            <v>0.695400670696662</v>
          </cell>
          <cell r="I19">
            <v>0.79884937232977149</v>
          </cell>
          <cell r="J19">
            <v>0.97740449765624193</v>
          </cell>
          <cell r="K19">
            <v>0.4744591271776008</v>
          </cell>
          <cell r="L19">
            <v>1.15145882876344</v>
          </cell>
          <cell r="M19">
            <v>0.79274079417772236</v>
          </cell>
          <cell r="N19">
            <v>0.83956236219730962</v>
          </cell>
          <cell r="O19">
            <v>0.76089647467232113</v>
          </cell>
          <cell r="P19">
            <v>0.67831574069804779</v>
          </cell>
          <cell r="Q19">
            <v>0.95320404603120268</v>
          </cell>
          <cell r="AB19">
            <v>2020</v>
          </cell>
          <cell r="AC19">
            <v>16</v>
          </cell>
          <cell r="AD19">
            <v>0.20668823199499345</v>
          </cell>
          <cell r="AE19">
            <v>7.1027001365791298</v>
          </cell>
        </row>
        <row r="20">
          <cell r="G20">
            <v>17</v>
          </cell>
          <cell r="H20">
            <v>0.73236789971366856</v>
          </cell>
          <cell r="I20">
            <v>0.84134440517504949</v>
          </cell>
          <cell r="J20">
            <v>1.0290214825809465</v>
          </cell>
          <cell r="K20">
            <v>0.49985701256645942</v>
          </cell>
          <cell r="L20">
            <v>1.2145357332360287</v>
          </cell>
          <cell r="M20">
            <v>0.83466151221492757</v>
          </cell>
          <cell r="N20">
            <v>0.88342425129046687</v>
          </cell>
          <cell r="O20">
            <v>0.80053536619353316</v>
          </cell>
          <cell r="P20">
            <v>0.71372260602431914</v>
          </cell>
          <cell r="Q20">
            <v>1.004902823226713</v>
          </cell>
          <cell r="AB20">
            <v>2021</v>
          </cell>
          <cell r="AC20">
            <v>17</v>
          </cell>
          <cell r="AD20">
            <v>0.22450821494476975</v>
          </cell>
          <cell r="AE20">
            <v>7.4227948163181345</v>
          </cell>
        </row>
        <row r="21">
          <cell r="G21">
            <v>18</v>
          </cell>
          <cell r="H21">
            <v>0.76933512873067511</v>
          </cell>
          <cell r="I21">
            <v>0.88383943802032749</v>
          </cell>
          <cell r="J21">
            <v>1.0806384675056511</v>
          </cell>
          <cell r="K21">
            <v>0.5252548979553181</v>
          </cell>
          <cell r="L21">
            <v>1.2776126377086174</v>
          </cell>
          <cell r="M21">
            <v>0.87658223025213278</v>
          </cell>
          <cell r="N21">
            <v>0.92728614038362411</v>
          </cell>
          <cell r="O21">
            <v>0.84017425771474519</v>
          </cell>
          <cell r="P21">
            <v>0.74912947135059049</v>
          </cell>
          <cell r="Q21">
            <v>1.0566016004222234</v>
          </cell>
          <cell r="AB21">
            <v>2022</v>
          </cell>
          <cell r="AC21">
            <v>18</v>
          </cell>
          <cell r="AD21">
            <v>0.24180916926494087</v>
          </cell>
          <cell r="AE21">
            <v>7.7353277469195625</v>
          </cell>
        </row>
        <row r="22">
          <cell r="G22">
            <v>19</v>
          </cell>
          <cell r="H22">
            <v>0.80630235774768166</v>
          </cell>
          <cell r="I22">
            <v>0.9263344708656055</v>
          </cell>
          <cell r="J22">
            <v>1.1322554524303556</v>
          </cell>
          <cell r="K22">
            <v>0.55065278334417678</v>
          </cell>
          <cell r="L22">
            <v>1.3406895421812062</v>
          </cell>
          <cell r="M22">
            <v>0.91850294828933798</v>
          </cell>
          <cell r="N22">
            <v>0.97114802947678136</v>
          </cell>
          <cell r="O22">
            <v>0.87981314923595721</v>
          </cell>
          <cell r="P22">
            <v>0.78453633667686185</v>
          </cell>
          <cell r="Q22">
            <v>1.1083003776177338</v>
          </cell>
          <cell r="AB22">
            <v>2023</v>
          </cell>
          <cell r="AC22">
            <v>19</v>
          </cell>
          <cell r="AD22">
            <v>0.26705751884615664</v>
          </cell>
          <cell r="AE22">
            <v>8.0404795050484612</v>
          </cell>
        </row>
        <row r="23">
          <cell r="G23">
            <v>20</v>
          </cell>
          <cell r="H23">
            <v>0.84326958676468822</v>
          </cell>
          <cell r="I23">
            <v>0.96882950371088328</v>
          </cell>
          <cell r="J23">
            <v>1.1838724373550606</v>
          </cell>
          <cell r="K23">
            <v>0.57605066873303534</v>
          </cell>
          <cell r="L23">
            <v>1.4037664466537945</v>
          </cell>
          <cell r="M23">
            <v>0.96042366632654363</v>
          </cell>
          <cell r="N23">
            <v>1.0150099185699391</v>
          </cell>
          <cell r="O23">
            <v>0.91945204075716958</v>
          </cell>
          <cell r="P23">
            <v>0.81994320200313342</v>
          </cell>
          <cell r="Q23">
            <v>1.1599991548132442</v>
          </cell>
          <cell r="AB23">
            <v>2024</v>
          </cell>
          <cell r="AC23">
            <v>20</v>
          </cell>
          <cell r="AD23">
            <v>0.29157047960461852</v>
          </cell>
          <cell r="AE23">
            <v>8.3384263012294646</v>
          </cell>
        </row>
        <row r="24">
          <cell r="G24">
            <v>21</v>
          </cell>
          <cell r="H24">
            <v>0.87018472416634374</v>
          </cell>
          <cell r="I24">
            <v>0.99922016042084216</v>
          </cell>
          <cell r="J24">
            <v>1.223325280641723</v>
          </cell>
          <cell r="K24">
            <v>0.59546005345112241</v>
          </cell>
          <cell r="L24">
            <v>1.4474725209441246</v>
          </cell>
          <cell r="M24">
            <v>0.99106243256974846</v>
          </cell>
          <cell r="N24">
            <v>1.0477460661980871</v>
          </cell>
          <cell r="O24">
            <v>0.94926321641552669</v>
          </cell>
          <cell r="P24">
            <v>0.84635832491260798</v>
          </cell>
          <cell r="Q24">
            <v>1.195026692773532</v>
          </cell>
          <cell r="AB24">
            <v>2025</v>
          </cell>
          <cell r="AC24">
            <v>21</v>
          </cell>
          <cell r="AD24">
            <v>0.33753462453919891</v>
          </cell>
          <cell r="AE24">
            <v>8.629340086896244</v>
          </cell>
        </row>
        <row r="25">
          <cell r="G25">
            <v>22</v>
          </cell>
          <cell r="H25">
            <v>0.89709986156799926</v>
          </cell>
          <cell r="I25">
            <v>1.0296108171308009</v>
          </cell>
          <cell r="J25">
            <v>1.2627781239283853</v>
          </cell>
          <cell r="K25">
            <v>0.61486943816920947</v>
          </cell>
          <cell r="L25">
            <v>1.4911785952344547</v>
          </cell>
          <cell r="M25">
            <v>1.0217011988129532</v>
          </cell>
          <cell r="N25">
            <v>1.0804822138262351</v>
          </cell>
          <cell r="O25">
            <v>0.9790743920738838</v>
          </cell>
          <cell r="P25">
            <v>0.87277344782208255</v>
          </cell>
          <cell r="Q25">
            <v>1.2300542307338198</v>
          </cell>
          <cell r="AB25">
            <v>2026</v>
          </cell>
          <cell r="AC25">
            <v>22</v>
          </cell>
          <cell r="AD25">
            <v>0.38216000797083033</v>
          </cell>
          <cell r="AE25">
            <v>8.9133463330074143</v>
          </cell>
        </row>
        <row r="26">
          <cell r="G26">
            <v>23</v>
          </cell>
          <cell r="H26">
            <v>0.92401499896965478</v>
          </cell>
          <cell r="I26">
            <v>1.0600014738407597</v>
          </cell>
          <cell r="J26">
            <v>1.3022309672150476</v>
          </cell>
          <cell r="K26">
            <v>0.63427882288729653</v>
          </cell>
          <cell r="L26">
            <v>1.5348846695247849</v>
          </cell>
          <cell r="M26">
            <v>1.052339965056158</v>
          </cell>
          <cell r="N26">
            <v>1.1132183614543831</v>
          </cell>
          <cell r="O26">
            <v>1.008885567732241</v>
          </cell>
          <cell r="P26">
            <v>0.89918857073155711</v>
          </cell>
          <cell r="Q26">
            <v>1.2650817686941076</v>
          </cell>
          <cell r="AB26">
            <v>2027</v>
          </cell>
          <cell r="AC26">
            <v>23</v>
          </cell>
          <cell r="AD26">
            <v>0.43307905819658699</v>
          </cell>
          <cell r="AE26">
            <v>9.1906006277781138</v>
          </cell>
        </row>
        <row r="27">
          <cell r="G27">
            <v>24</v>
          </cell>
          <cell r="H27">
            <v>0.9509301363713103</v>
          </cell>
          <cell r="I27">
            <v>1.0903921305507185</v>
          </cell>
          <cell r="J27">
            <v>1.3416838105017099</v>
          </cell>
          <cell r="K27">
            <v>0.6536882076053836</v>
          </cell>
          <cell r="L27">
            <v>1.578590743815115</v>
          </cell>
          <cell r="M27">
            <v>1.0829787312993628</v>
          </cell>
          <cell r="N27">
            <v>1.1459545090825312</v>
          </cell>
          <cell r="O27">
            <v>1.0386967433905983</v>
          </cell>
          <cell r="P27">
            <v>0.92560369364103168</v>
          </cell>
          <cell r="Q27">
            <v>1.3001093066543954</v>
          </cell>
          <cell r="AB27">
            <v>2028</v>
          </cell>
          <cell r="AC27">
            <v>24</v>
          </cell>
          <cell r="AD27">
            <v>0.48251502928955464</v>
          </cell>
          <cell r="AE27">
            <v>9.4612553559489747</v>
          </cell>
        </row>
        <row r="28">
          <cell r="G28">
            <v>25</v>
          </cell>
          <cell r="H28">
            <v>0.97784527377296582</v>
          </cell>
          <cell r="I28">
            <v>1.1207827872606773</v>
          </cell>
          <cell r="J28">
            <v>1.3811366537883722</v>
          </cell>
          <cell r="K28">
            <v>0.67309759232347066</v>
          </cell>
          <cell r="L28">
            <v>1.6222968181054451</v>
          </cell>
          <cell r="M28">
            <v>1.1136174975425677</v>
          </cell>
          <cell r="N28">
            <v>1.1786906567106792</v>
          </cell>
          <cell r="O28">
            <v>1.0685079190489555</v>
          </cell>
          <cell r="P28">
            <v>0.95201881655050624</v>
          </cell>
          <cell r="Q28">
            <v>1.3351368446146832</v>
          </cell>
          <cell r="AB28">
            <v>2029</v>
          </cell>
          <cell r="AC28">
            <v>25</v>
          </cell>
          <cell r="AD28">
            <v>0.52335357673244887</v>
          </cell>
          <cell r="AE28">
            <v>9.7254597534051701</v>
          </cell>
        </row>
        <row r="29">
          <cell r="G29">
            <v>26</v>
          </cell>
          <cell r="H29">
            <v>1.0047604111746213</v>
          </cell>
          <cell r="I29">
            <v>1.151173443970636</v>
          </cell>
          <cell r="J29">
            <v>1.4205894970750346</v>
          </cell>
          <cell r="K29">
            <v>0.69250697704155773</v>
          </cell>
          <cell r="L29">
            <v>1.6660028923957753</v>
          </cell>
          <cell r="M29">
            <v>1.1442562637857725</v>
          </cell>
          <cell r="N29">
            <v>1.2114268043388272</v>
          </cell>
          <cell r="O29">
            <v>1.0983190947073127</v>
          </cell>
          <cell r="P29">
            <v>0.97843393945998081</v>
          </cell>
          <cell r="Q29">
            <v>1.370164382574971</v>
          </cell>
          <cell r="AB29">
            <v>2030</v>
          </cell>
          <cell r="AC29">
            <v>26</v>
          </cell>
          <cell r="AD29">
            <v>0.56300265191972465</v>
          </cell>
          <cell r="AE29">
            <v>9.9833599613313648</v>
          </cell>
        </row>
        <row r="30">
          <cell r="G30">
            <v>27</v>
          </cell>
          <cell r="H30">
            <v>1.031675548576277</v>
          </cell>
          <cell r="I30">
            <v>1.1815641006805948</v>
          </cell>
          <cell r="J30">
            <v>1.4600423403616969</v>
          </cell>
          <cell r="K30">
            <v>0.71191636175964479</v>
          </cell>
          <cell r="L30">
            <v>1.7097089666861054</v>
          </cell>
          <cell r="M30">
            <v>1.1748950300289773</v>
          </cell>
          <cell r="N30">
            <v>1.2441629519669752</v>
          </cell>
          <cell r="O30">
            <v>1.1281302703656699</v>
          </cell>
          <cell r="P30">
            <v>1.0048490623694555</v>
          </cell>
          <cell r="Q30">
            <v>1.4051919205352588</v>
          </cell>
          <cell r="AB30">
            <v>2031</v>
          </cell>
          <cell r="AC30">
            <v>27</v>
          </cell>
          <cell r="AD30">
            <v>0.57528187053148494</v>
          </cell>
          <cell r="AE30">
            <v>10.235099079883316</v>
          </cell>
        </row>
        <row r="31">
          <cell r="G31">
            <v>28</v>
          </cell>
          <cell r="H31">
            <v>1.0585906859779326</v>
          </cell>
          <cell r="I31">
            <v>1.2119547573905536</v>
          </cell>
          <cell r="J31">
            <v>1.4994951836483592</v>
          </cell>
          <cell r="K31">
            <v>0.73132574647773185</v>
          </cell>
          <cell r="L31">
            <v>1.7534150409764355</v>
          </cell>
          <cell r="M31">
            <v>1.2055337962721822</v>
          </cell>
          <cell r="N31">
            <v>1.2768990995951233</v>
          </cell>
          <cell r="O31">
            <v>1.1579414460240272</v>
          </cell>
          <cell r="P31">
            <v>1.0312641852789302</v>
          </cell>
          <cell r="Q31">
            <v>1.4402194584955466</v>
          </cell>
          <cell r="AB31">
            <v>2032</v>
          </cell>
          <cell r="AC31">
            <v>28</v>
          </cell>
          <cell r="AD31">
            <v>0.61920509054872108</v>
          </cell>
          <cell r="AE31">
            <v>10.480817221358313</v>
          </cell>
        </row>
        <row r="32">
          <cell r="G32">
            <v>29</v>
          </cell>
          <cell r="H32">
            <v>1.0855058233795882</v>
          </cell>
          <cell r="I32">
            <v>1.2423454141005124</v>
          </cell>
          <cell r="J32">
            <v>1.5389480269350215</v>
          </cell>
          <cell r="K32">
            <v>0.75073513119581892</v>
          </cell>
          <cell r="L32">
            <v>1.7971211152667657</v>
          </cell>
          <cell r="M32">
            <v>1.236172562515387</v>
          </cell>
          <cell r="N32">
            <v>1.3096352472232713</v>
          </cell>
          <cell r="O32">
            <v>1.1877526216823844</v>
          </cell>
          <cell r="P32">
            <v>1.0576793081884048</v>
          </cell>
          <cell r="Q32">
            <v>1.4752469964558343</v>
          </cell>
          <cell r="AB32">
            <v>2033</v>
          </cell>
          <cell r="AC32">
            <v>29</v>
          </cell>
          <cell r="AD32">
            <v>0.66184899347807657</v>
          </cell>
          <cell r="AE32">
            <v>10.720651562848129</v>
          </cell>
        </row>
        <row r="33">
          <cell r="G33">
            <v>30</v>
          </cell>
          <cell r="H33">
            <v>1.1124209607812439</v>
          </cell>
          <cell r="I33">
            <v>1.2727360708104718</v>
          </cell>
          <cell r="J33">
            <v>1.5784008702216847</v>
          </cell>
          <cell r="K33">
            <v>0.77014451591390631</v>
          </cell>
          <cell r="L33">
            <v>1.8408271895570962</v>
          </cell>
          <cell r="M33">
            <v>1.2668113287585916</v>
          </cell>
          <cell r="N33">
            <v>1.34237139485142</v>
          </cell>
          <cell r="O33">
            <v>1.2175637973407409</v>
          </cell>
          <cell r="P33">
            <v>1.0840944310978795</v>
          </cell>
          <cell r="Q33">
            <v>1.5102745344161215</v>
          </cell>
          <cell r="AB33">
            <v>2034</v>
          </cell>
          <cell r="AC33">
            <v>30</v>
          </cell>
          <cell r="AD33">
            <v>0.70325084098230517</v>
          </cell>
          <cell r="AE33">
            <v>10.957323046522811</v>
          </cell>
        </row>
        <row r="34">
          <cell r="G34">
            <v>31</v>
          </cell>
          <cell r="H34">
            <v>1.1324483515795338</v>
          </cell>
          <cell r="I34">
            <v>1.2953495737533849</v>
          </cell>
          <cell r="J34">
            <v>1.6077574893717592</v>
          </cell>
          <cell r="K34">
            <v>0.78458692073467906</v>
          </cell>
          <cell r="L34">
            <v>1.8733486111478757</v>
          </cell>
          <cell r="M34">
            <v>1.2896094479650766</v>
          </cell>
          <cell r="N34">
            <v>1.3667301731857737</v>
          </cell>
          <cell r="O34">
            <v>1.2397461105342309</v>
          </cell>
          <cell r="P34">
            <v>1.1037497627446347</v>
          </cell>
          <cell r="Q34">
            <v>1.5363383127705348</v>
          </cell>
          <cell r="AB34">
            <v>2035</v>
          </cell>
          <cell r="AC34">
            <v>31</v>
          </cell>
          <cell r="AD34">
            <v>0.74344680943301256</v>
          </cell>
          <cell r="AE34">
            <v>11.188759448703577</v>
          </cell>
        </row>
        <row r="35">
          <cell r="G35">
            <v>32</v>
          </cell>
          <cell r="H35">
            <v>1.1524757423778238</v>
          </cell>
          <cell r="I35">
            <v>1.317963076696298</v>
          </cell>
          <cell r="J35">
            <v>1.6371141085218337</v>
          </cell>
          <cell r="K35">
            <v>0.79902932555545181</v>
          </cell>
          <cell r="L35">
            <v>1.9058700327386551</v>
          </cell>
          <cell r="M35">
            <v>1.3124075671715616</v>
          </cell>
          <cell r="N35">
            <v>1.3910889515201275</v>
          </cell>
          <cell r="O35">
            <v>1.2619284237277208</v>
          </cell>
          <cell r="P35">
            <v>1.1234050943913898</v>
          </cell>
          <cell r="Q35">
            <v>1.5624020911249481</v>
          </cell>
          <cell r="AB35">
            <v>2036</v>
          </cell>
          <cell r="AC35">
            <v>32</v>
          </cell>
          <cell r="AD35">
            <v>0.78247202152107798</v>
          </cell>
          <cell r="AE35">
            <v>11.415116950697461</v>
          </cell>
        </row>
        <row r="36">
          <cell r="G36">
            <v>33</v>
          </cell>
          <cell r="H36">
            <v>1.1725031331761138</v>
          </cell>
          <cell r="I36">
            <v>1.3405765796392111</v>
          </cell>
          <cell r="J36">
            <v>1.6664707276719082</v>
          </cell>
          <cell r="K36">
            <v>0.81347173037622456</v>
          </cell>
          <cell r="L36">
            <v>1.9383914543294345</v>
          </cell>
          <cell r="M36">
            <v>1.3352056863780466</v>
          </cell>
          <cell r="N36">
            <v>1.4154477298544812</v>
          </cell>
          <cell r="O36">
            <v>1.2841107369212108</v>
          </cell>
          <cell r="P36">
            <v>1.1430604260381449</v>
          </cell>
          <cell r="Q36">
            <v>1.5884658694793614</v>
          </cell>
          <cell r="AB36">
            <v>2037</v>
          </cell>
          <cell r="AC36">
            <v>33</v>
          </cell>
          <cell r="AD36">
            <v>0.8203605769463842</v>
          </cell>
          <cell r="AE36">
            <v>11.636545562356241</v>
          </cell>
        </row>
        <row r="37">
          <cell r="G37">
            <v>34</v>
          </cell>
          <cell r="H37">
            <v>1.1925305239744037</v>
          </cell>
          <cell r="I37">
            <v>1.3631900825821242</v>
          </cell>
          <cell r="J37">
            <v>1.6958273468219827</v>
          </cell>
          <cell r="K37">
            <v>0.8279141351969973</v>
          </cell>
          <cell r="L37">
            <v>1.9709128759202139</v>
          </cell>
          <cell r="M37">
            <v>1.3580038055845316</v>
          </cell>
          <cell r="N37">
            <v>1.4398065081888349</v>
          </cell>
          <cell r="O37">
            <v>1.3062930501147008</v>
          </cell>
          <cell r="P37">
            <v>1.1627157576849001</v>
          </cell>
          <cell r="Q37">
            <v>1.6145296478337747</v>
          </cell>
          <cell r="AB37">
            <v>2038</v>
          </cell>
          <cell r="AC37">
            <v>34</v>
          </cell>
          <cell r="AD37">
            <v>0.85714558221367176</v>
          </cell>
          <cell r="AE37">
            <v>11.853189393199679</v>
          </cell>
        </row>
        <row r="38">
          <cell r="G38">
            <v>35</v>
          </cell>
          <cell r="H38">
            <v>1.2125579147726937</v>
          </cell>
          <cell r="I38">
            <v>1.3858035855250372</v>
          </cell>
          <cell r="J38">
            <v>1.7251839659720571</v>
          </cell>
          <cell r="K38">
            <v>0.84235654001777005</v>
          </cell>
          <cell r="L38">
            <v>2.0034342975109936</v>
          </cell>
          <cell r="M38">
            <v>1.3808019247910166</v>
          </cell>
          <cell r="N38">
            <v>1.4641652865231887</v>
          </cell>
          <cell r="O38">
            <v>1.3284753633081907</v>
          </cell>
          <cell r="P38">
            <v>1.1823710893316552</v>
          </cell>
          <cell r="Q38">
            <v>1.640593426188188</v>
          </cell>
          <cell r="AB38">
            <v>2039</v>
          </cell>
          <cell r="AC38">
            <v>35</v>
          </cell>
          <cell r="AD38">
            <v>0.89285917956055294</v>
          </cell>
          <cell r="AE38">
            <v>12.065186911695758</v>
          </cell>
        </row>
        <row r="39">
          <cell r="G39">
            <v>36</v>
          </cell>
          <cell r="H39">
            <v>1.2325853055709837</v>
          </cell>
          <cell r="I39">
            <v>1.4084170884679503</v>
          </cell>
          <cell r="J39">
            <v>1.7545405851221316</v>
          </cell>
          <cell r="K39">
            <v>0.8567989448385428</v>
          </cell>
          <cell r="L39">
            <v>2.0359557191017732</v>
          </cell>
          <cell r="M39">
            <v>1.4036000439975016</v>
          </cell>
          <cell r="N39">
            <v>1.4885240648575424</v>
          </cell>
          <cell r="O39">
            <v>1.3506576765016807</v>
          </cell>
          <cell r="P39">
            <v>1.2020264209784104</v>
          </cell>
          <cell r="Q39">
            <v>1.6666572045426014</v>
          </cell>
          <cell r="AB39">
            <v>2040</v>
          </cell>
          <cell r="AC39">
            <v>36</v>
          </cell>
          <cell r="AD39">
            <v>0.92753257504296183</v>
          </cell>
          <cell r="AE39">
            <v>12.272671193195185</v>
          </cell>
        </row>
        <row r="40">
          <cell r="G40">
            <v>37</v>
          </cell>
          <cell r="H40">
            <v>1.2526126963692736</v>
          </cell>
          <cell r="I40">
            <v>1.4310305914108634</v>
          </cell>
          <cell r="J40">
            <v>1.7838972042722061</v>
          </cell>
          <cell r="K40">
            <v>0.87124134965931554</v>
          </cell>
          <cell r="L40">
            <v>2.0684771406925528</v>
          </cell>
          <cell r="M40">
            <v>1.4263981632039866</v>
          </cell>
          <cell r="N40">
            <v>1.5128828431918961</v>
          </cell>
          <cell r="O40">
            <v>1.3728399896951706</v>
          </cell>
          <cell r="P40">
            <v>1.2216817526251655</v>
          </cell>
          <cell r="Q40">
            <v>1.6927209828970147</v>
          </cell>
          <cell r="AB40">
            <v>2041</v>
          </cell>
          <cell r="AC40">
            <v>37</v>
          </cell>
          <cell r="AD40">
            <v>0.9611960658025821</v>
          </cell>
          <cell r="AE40">
            <v>12.475770156997472</v>
          </cell>
        </row>
        <row r="41">
          <cell r="G41">
            <v>38</v>
          </cell>
          <cell r="H41">
            <v>1.2726400871675636</v>
          </cell>
          <cell r="I41">
            <v>1.4536440943537765</v>
          </cell>
          <cell r="J41">
            <v>1.8132538234222806</v>
          </cell>
          <cell r="K41">
            <v>0.88568375448008829</v>
          </cell>
          <cell r="L41">
            <v>2.1009985622833325</v>
          </cell>
          <cell r="M41">
            <v>1.4491962824104716</v>
          </cell>
          <cell r="N41">
            <v>1.5372416215262499</v>
          </cell>
          <cell r="O41">
            <v>1.3950223028886606</v>
          </cell>
          <cell r="P41">
            <v>1.2413370842719207</v>
          </cell>
          <cell r="Q41">
            <v>1.718784761251428</v>
          </cell>
          <cell r="AB41">
            <v>2042</v>
          </cell>
          <cell r="AC41">
            <v>38</v>
          </cell>
          <cell r="AD41">
            <v>0.99387906654007763</v>
          </cell>
          <cell r="AE41">
            <v>12.674606793006642</v>
          </cell>
        </row>
        <row r="42">
          <cell r="G42">
            <v>39</v>
          </cell>
          <cell r="H42">
            <v>1.2926674779658536</v>
          </cell>
          <cell r="I42">
            <v>1.4762575972966896</v>
          </cell>
          <cell r="J42">
            <v>1.8426104425723551</v>
          </cell>
          <cell r="K42">
            <v>0.90012615930086104</v>
          </cell>
          <cell r="L42">
            <v>2.1335199838741121</v>
          </cell>
          <cell r="M42">
            <v>1.4719944016169566</v>
          </cell>
          <cell r="N42">
            <v>1.5616003998606036</v>
          </cell>
          <cell r="O42">
            <v>1.4172046160821505</v>
          </cell>
          <cell r="P42">
            <v>1.2609924159186758</v>
          </cell>
          <cell r="Q42">
            <v>1.7448485396058413</v>
          </cell>
          <cell r="AB42">
            <v>2043</v>
          </cell>
          <cell r="AC42">
            <v>39</v>
          </cell>
          <cell r="AD42">
            <v>1.0256101352172577</v>
          </cell>
          <cell r="AE42">
            <v>12.86929937841612</v>
          </cell>
        </row>
        <row r="43">
          <cell r="G43">
            <v>40</v>
          </cell>
          <cell r="H43">
            <v>1.3126948687641427</v>
          </cell>
          <cell r="I43">
            <v>1.4988711002396033</v>
          </cell>
          <cell r="J43">
            <v>1.8719670617224289</v>
          </cell>
          <cell r="K43">
            <v>0.91456856412163356</v>
          </cell>
          <cell r="L43">
            <v>2.1660414054648909</v>
          </cell>
          <cell r="M43">
            <v>1.4947925208234418</v>
          </cell>
          <cell r="N43">
            <v>1.5859591781949585</v>
          </cell>
          <cell r="O43">
            <v>1.43938692927564</v>
          </cell>
          <cell r="P43">
            <v>1.2806477475654321</v>
          </cell>
          <cell r="Q43">
            <v>1.7709123179602548</v>
          </cell>
          <cell r="AB43">
            <v>2044</v>
          </cell>
          <cell r="AC43">
            <v>40</v>
          </cell>
          <cell r="AD43">
            <v>1.0564169980106364</v>
          </cell>
          <cell r="AE43">
            <v>13.059961684844618</v>
          </cell>
        </row>
        <row r="44">
          <cell r="G44">
            <v>41</v>
          </cell>
          <cell r="H44">
            <v>1.3275971284540824</v>
          </cell>
          <cell r="I44">
            <v>1.5156976717964192</v>
          </cell>
          <cell r="J44">
            <v>1.8938111450643094</v>
          </cell>
          <cell r="K44">
            <v>0.92531506944517217</v>
          </cell>
          <cell r="L44">
            <v>2.1902404025704518</v>
          </cell>
          <cell r="M44">
            <v>1.5117564636626757</v>
          </cell>
          <cell r="N44">
            <v>1.6040843889707095</v>
          </cell>
          <cell r="O44">
            <v>1.4558926568319039</v>
          </cell>
          <cell r="P44">
            <v>1.2952731603289684</v>
          </cell>
          <cell r="Q44">
            <v>1.7903062170109147</v>
          </cell>
          <cell r="AB44">
            <v>2045</v>
          </cell>
          <cell r="AC44">
            <v>41</v>
          </cell>
          <cell r="AD44">
            <v>1.0863265735381884</v>
          </cell>
          <cell r="AE44">
            <v>13.246703176327733</v>
          </cell>
        </row>
        <row r="45">
          <cell r="G45">
            <v>42</v>
          </cell>
          <cell r="H45">
            <v>1.3424993881440221</v>
          </cell>
          <cell r="I45">
            <v>1.5325242433532351</v>
          </cell>
          <cell r="J45">
            <v>1.9156552284061898</v>
          </cell>
          <cell r="K45">
            <v>0.93606157476871077</v>
          </cell>
          <cell r="L45">
            <v>2.2144393996760128</v>
          </cell>
          <cell r="M45">
            <v>1.5287204065019095</v>
          </cell>
          <cell r="N45">
            <v>1.6222095997464605</v>
          </cell>
          <cell r="O45">
            <v>1.4723983843881678</v>
          </cell>
          <cell r="P45">
            <v>1.3098985730925048</v>
          </cell>
          <cell r="Q45">
            <v>1.8097001160615747</v>
          </cell>
          <cell r="AB45">
            <v>2046</v>
          </cell>
          <cell r="AC45">
            <v>42</v>
          </cell>
          <cell r="AD45">
            <v>1.1153649963804719</v>
          </cell>
          <cell r="AE45">
            <v>13.429629198553531</v>
          </cell>
        </row>
        <row r="46">
          <cell r="G46">
            <v>43</v>
          </cell>
          <cell r="H46">
            <v>1.3574016478339619</v>
          </cell>
          <cell r="I46">
            <v>1.549350814910051</v>
          </cell>
          <cell r="J46">
            <v>1.9374993117480703</v>
          </cell>
          <cell r="K46">
            <v>0.94680808009224937</v>
          </cell>
          <cell r="L46">
            <v>2.2386383967815737</v>
          </cell>
          <cell r="M46">
            <v>1.5456843493411434</v>
          </cell>
          <cell r="N46">
            <v>1.6403348105222115</v>
          </cell>
          <cell r="O46">
            <v>1.4889041119444317</v>
          </cell>
          <cell r="P46">
            <v>1.3245239858560411</v>
          </cell>
          <cell r="Q46">
            <v>1.8290940151122346</v>
          </cell>
          <cell r="AB46">
            <v>2047</v>
          </cell>
          <cell r="AC46">
            <v>43</v>
          </cell>
          <cell r="AD46">
            <v>1.1435576399166696</v>
          </cell>
          <cell r="AE46">
            <v>13.608841159714657</v>
          </cell>
        </row>
        <row r="47">
          <cell r="G47">
            <v>44</v>
          </cell>
          <cell r="H47">
            <v>1.3723039075239016</v>
          </cell>
          <cell r="I47">
            <v>1.5661773864668669</v>
          </cell>
          <cell r="J47">
            <v>1.9593433950899508</v>
          </cell>
          <cell r="K47">
            <v>0.95755458541578797</v>
          </cell>
          <cell r="L47">
            <v>2.2628373938871347</v>
          </cell>
          <cell r="M47">
            <v>1.5626482921803773</v>
          </cell>
          <cell r="N47">
            <v>1.6584600212979625</v>
          </cell>
          <cell r="O47">
            <v>1.5054098395006956</v>
          </cell>
          <cell r="P47">
            <v>1.3391493986195775</v>
          </cell>
          <cell r="Q47">
            <v>1.8484879141628945</v>
          </cell>
          <cell r="AB47">
            <v>2048</v>
          </cell>
          <cell r="AC47">
            <v>44</v>
          </cell>
          <cell r="AD47">
            <v>1.1709291384955023</v>
          </cell>
          <cell r="AE47">
            <v>13.784436703334352</v>
          </cell>
        </row>
        <row r="48">
          <cell r="G48">
            <v>45</v>
          </cell>
          <cell r="H48">
            <v>1.3872061672138414</v>
          </cell>
          <cell r="I48">
            <v>1.5830039580236828</v>
          </cell>
          <cell r="J48">
            <v>1.9811874784318313</v>
          </cell>
          <cell r="K48">
            <v>0.96830109073932658</v>
          </cell>
          <cell r="L48">
            <v>2.2870363909926956</v>
          </cell>
          <cell r="M48">
            <v>1.5796122350196111</v>
          </cell>
          <cell r="N48">
            <v>1.6765852320737136</v>
          </cell>
          <cell r="O48">
            <v>1.5219155670569595</v>
          </cell>
          <cell r="P48">
            <v>1.3537748113831138</v>
          </cell>
          <cell r="Q48">
            <v>1.8678818132135544</v>
          </cell>
          <cell r="AB48">
            <v>2049</v>
          </cell>
          <cell r="AC48">
            <v>45</v>
          </cell>
          <cell r="AD48">
            <v>1.1975034089603884</v>
          </cell>
          <cell r="AE48">
            <v>13.95650987340915</v>
          </cell>
        </row>
        <row r="49">
          <cell r="G49">
            <v>46</v>
          </cell>
          <cell r="H49">
            <v>1.4021084269037811</v>
          </cell>
          <cell r="I49">
            <v>1.5998305295804987</v>
          </cell>
          <cell r="J49">
            <v>2.0030315617737116</v>
          </cell>
          <cell r="K49">
            <v>0.97904759606286518</v>
          </cell>
          <cell r="L49">
            <v>2.3112353880982566</v>
          </cell>
          <cell r="M49">
            <v>1.596576177858845</v>
          </cell>
          <cell r="N49">
            <v>1.6947104428494646</v>
          </cell>
          <cell r="O49">
            <v>1.5384212946132234</v>
          </cell>
          <cell r="P49">
            <v>1.3684002241466502</v>
          </cell>
          <cell r="Q49">
            <v>1.8872757122642143</v>
          </cell>
          <cell r="AB49">
            <v>2050</v>
          </cell>
          <cell r="AC49">
            <v>46</v>
          </cell>
          <cell r="AD49">
            <v>1.2233036715476564</v>
          </cell>
          <cell r="AE49">
            <v>14.125151272197067</v>
          </cell>
        </row>
        <row r="50">
          <cell r="G50">
            <v>47</v>
          </cell>
          <cell r="H50">
            <v>1.4170106865937209</v>
          </cell>
          <cell r="I50">
            <v>1.6166571011373145</v>
          </cell>
          <cell r="J50">
            <v>2.0248756451155918</v>
          </cell>
          <cell r="K50">
            <v>0.98979410138640378</v>
          </cell>
          <cell r="L50">
            <v>2.3354343852038175</v>
          </cell>
          <cell r="M50">
            <v>1.6135401206980788</v>
          </cell>
          <cell r="N50">
            <v>1.7128356536252156</v>
          </cell>
          <cell r="O50">
            <v>1.5549270221694873</v>
          </cell>
          <cell r="P50">
            <v>1.3830256369101865</v>
          </cell>
          <cell r="Q50">
            <v>1.9066696113148742</v>
          </cell>
          <cell r="AB50">
            <v>2051</v>
          </cell>
          <cell r="AC50">
            <v>47</v>
          </cell>
          <cell r="AD50">
            <v>1.248352470176072</v>
          </cell>
          <cell r="AE50">
            <v>14.290448210966655</v>
          </cell>
        </row>
        <row r="51">
          <cell r="G51">
            <v>48</v>
          </cell>
          <cell r="H51">
            <v>1.4319129462836606</v>
          </cell>
          <cell r="I51">
            <v>1.6334836726941304</v>
          </cell>
          <cell r="J51">
            <v>2.0467197284574721</v>
          </cell>
          <cell r="K51">
            <v>1.0005406067099425</v>
          </cell>
          <cell r="L51">
            <v>2.3596333823093785</v>
          </cell>
          <cell r="M51">
            <v>1.6305040635373127</v>
          </cell>
          <cell r="N51">
            <v>1.7309608644009666</v>
          </cell>
          <cell r="O51">
            <v>1.5714327497257512</v>
          </cell>
          <cell r="P51">
            <v>1.3976510496737229</v>
          </cell>
          <cell r="Q51">
            <v>1.9260635103655341</v>
          </cell>
          <cell r="AB51">
            <v>2052</v>
          </cell>
          <cell r="AC51">
            <v>48</v>
          </cell>
          <cell r="AD51">
            <v>1.2726716921454075</v>
          </cell>
          <cell r="AE51">
            <v>14.45248485400934</v>
          </cell>
        </row>
        <row r="52">
          <cell r="G52">
            <v>49</v>
          </cell>
          <cell r="H52">
            <v>1.4468152059736004</v>
          </cell>
          <cell r="I52">
            <v>1.6503102442509463</v>
          </cell>
          <cell r="J52">
            <v>2.0685638117993523</v>
          </cell>
          <cell r="K52">
            <v>1.0112871120334812</v>
          </cell>
          <cell r="L52">
            <v>2.3838323794149394</v>
          </cell>
          <cell r="M52">
            <v>1.6474680063765466</v>
          </cell>
          <cell r="N52">
            <v>1.7490860751767177</v>
          </cell>
          <cell r="O52">
            <v>1.5879384772820151</v>
          </cell>
          <cell r="P52">
            <v>1.4122764624372592</v>
          </cell>
          <cell r="Q52">
            <v>1.9454574094161941</v>
          </cell>
          <cell r="AB52">
            <v>2053</v>
          </cell>
          <cell r="AC52">
            <v>49</v>
          </cell>
          <cell r="AD52">
            <v>1.2962825872612673</v>
          </cell>
          <cell r="AE52">
            <v>14.611342356205071</v>
          </cell>
        </row>
        <row r="53">
          <cell r="G53">
            <v>50</v>
          </cell>
          <cell r="H53">
            <v>1.4617174656635397</v>
          </cell>
          <cell r="I53">
            <v>1.6671368158077626</v>
          </cell>
          <cell r="J53">
            <v>2.090407895141233</v>
          </cell>
          <cell r="K53">
            <v>1.0220336173570197</v>
          </cell>
          <cell r="L53">
            <v>2.4080313765204981</v>
          </cell>
          <cell r="M53">
            <v>1.6644319492157797</v>
          </cell>
          <cell r="N53">
            <v>1.7672112859524687</v>
          </cell>
          <cell r="O53">
            <v>1.6044442048382794</v>
          </cell>
          <cell r="P53">
            <v>1.4269018752007956</v>
          </cell>
          <cell r="Q53">
            <v>1.9648513084668549</v>
          </cell>
          <cell r="AB53">
            <v>2054</v>
          </cell>
          <cell r="AC53">
            <v>50</v>
          </cell>
          <cell r="AD53">
            <v>1.3192057864028788</v>
          </cell>
          <cell r="AE53">
            <v>14.767098994419424</v>
          </cell>
        </row>
        <row r="54">
          <cell r="G54">
            <v>51</v>
          </cell>
          <cell r="H54">
            <v>1.4728061458109447</v>
          </cell>
          <cell r="I54">
            <v>1.6796573640695842</v>
          </cell>
          <cell r="J54">
            <v>2.1066619445384736</v>
          </cell>
          <cell r="K54">
            <v>1.0300300267741571</v>
          </cell>
          <cell r="L54">
            <v>2.4260376930721765</v>
          </cell>
          <cell r="M54">
            <v>1.6770547123335282</v>
          </cell>
          <cell r="N54">
            <v>1.7806981428778381</v>
          </cell>
          <cell r="O54">
            <v>1.616726013096955</v>
          </cell>
          <cell r="P54">
            <v>1.4377845550413613</v>
          </cell>
          <cell r="Q54">
            <v>1.9792821890333725</v>
          </cell>
          <cell r="AB54">
            <v>2055</v>
          </cell>
          <cell r="AC54">
            <v>51</v>
          </cell>
          <cell r="AD54">
            <v>1.3414613195500742</v>
          </cell>
          <cell r="AE54">
            <v>14.91983029299875</v>
          </cell>
        </row>
        <row r="55">
          <cell r="G55">
            <v>52</v>
          </cell>
          <cell r="H55">
            <v>1.4838948259583498</v>
          </cell>
          <cell r="I55">
            <v>1.6921779123314058</v>
          </cell>
          <cell r="J55">
            <v>2.1229159939357141</v>
          </cell>
          <cell r="K55">
            <v>1.0380264361912945</v>
          </cell>
          <cell r="L55">
            <v>2.4440440096238549</v>
          </cell>
          <cell r="M55">
            <v>1.6896774754512767</v>
          </cell>
          <cell r="N55">
            <v>1.7941849998032076</v>
          </cell>
          <cell r="O55">
            <v>1.6290078213556307</v>
          </cell>
          <cell r="P55">
            <v>1.4486672348819269</v>
          </cell>
          <cell r="Q55">
            <v>1.9937130695998901</v>
          </cell>
          <cell r="AB55">
            <v>2056</v>
          </cell>
          <cell r="AC55">
            <v>52</v>
          </cell>
          <cell r="AD55">
            <v>1.3630686332852155</v>
          </cell>
          <cell r="AE55">
            <v>15.069609143619083</v>
          </cell>
        </row>
        <row r="56">
          <cell r="G56">
            <v>53</v>
          </cell>
          <cell r="H56">
            <v>1.4949835061057548</v>
          </cell>
          <cell r="I56">
            <v>1.7046984605932274</v>
          </cell>
          <cell r="J56">
            <v>2.1391700433329546</v>
          </cell>
          <cell r="K56">
            <v>1.046022845608432</v>
          </cell>
          <cell r="L56">
            <v>2.4620503261755333</v>
          </cell>
          <cell r="M56">
            <v>1.7023002385690251</v>
          </cell>
          <cell r="N56">
            <v>1.807671856728577</v>
          </cell>
          <cell r="O56">
            <v>1.6412896296143065</v>
          </cell>
          <cell r="P56">
            <v>1.4595499147224926</v>
          </cell>
          <cell r="Q56">
            <v>2.0081439501664078</v>
          </cell>
          <cell r="AB56">
            <v>2057</v>
          </cell>
          <cell r="AC56">
            <v>53</v>
          </cell>
          <cell r="AD56">
            <v>1.3840466077853526</v>
          </cell>
          <cell r="AE56">
            <v>15.216505919733851</v>
          </cell>
        </row>
        <row r="57">
          <cell r="G57">
            <v>54</v>
          </cell>
          <cell r="H57">
            <v>1.5060721862531599</v>
          </cell>
          <cell r="I57">
            <v>1.717219008855049</v>
          </cell>
          <cell r="J57">
            <v>2.1554240927301951</v>
          </cell>
          <cell r="K57">
            <v>1.0540192550255694</v>
          </cell>
          <cell r="L57">
            <v>2.4800566427272117</v>
          </cell>
          <cell r="M57">
            <v>1.7149230016867736</v>
          </cell>
          <cell r="N57">
            <v>1.8211587136539464</v>
          </cell>
          <cell r="O57">
            <v>1.6535714378729822</v>
          </cell>
          <cell r="P57">
            <v>1.4704325945630583</v>
          </cell>
          <cell r="Q57">
            <v>2.0225748307329252</v>
          </cell>
          <cell r="AB57">
            <v>2058</v>
          </cell>
          <cell r="AC57">
            <v>54</v>
          </cell>
          <cell r="AD57">
            <v>1.4044135733194665</v>
          </cell>
          <cell r="AE57">
            <v>15.360588585855382</v>
          </cell>
        </row>
        <row r="58">
          <cell r="G58">
            <v>55</v>
          </cell>
          <cell r="H58">
            <v>1.5171608664005649</v>
          </cell>
          <cell r="I58">
            <v>1.7297395571168706</v>
          </cell>
          <cell r="J58">
            <v>2.1716781421274356</v>
          </cell>
          <cell r="K58">
            <v>1.0620156644427068</v>
          </cell>
          <cell r="L58">
            <v>2.4980629592788901</v>
          </cell>
          <cell r="M58">
            <v>1.727545764804522</v>
          </cell>
          <cell r="N58">
            <v>1.8346455705793159</v>
          </cell>
          <cell r="O58">
            <v>1.665853246131658</v>
          </cell>
          <cell r="P58">
            <v>1.481315274403624</v>
          </cell>
          <cell r="Q58">
            <v>2.0370057112994426</v>
          </cell>
          <cell r="AB58">
            <v>2059</v>
          </cell>
          <cell r="AC58">
            <v>55</v>
          </cell>
          <cell r="AD58">
            <v>1.4241873262652081</v>
          </cell>
          <cell r="AE58">
            <v>15.501922801895329</v>
          </cell>
        </row>
        <row r="59">
          <cell r="G59">
            <v>56</v>
          </cell>
          <cell r="H59">
            <v>1.52824954654797</v>
          </cell>
          <cell r="I59">
            <v>1.7422601053786921</v>
          </cell>
          <cell r="J59">
            <v>2.1879321915246761</v>
          </cell>
          <cell r="K59">
            <v>1.0700120738598442</v>
          </cell>
          <cell r="L59">
            <v>2.5160692758305685</v>
          </cell>
          <cell r="M59">
            <v>1.7401685279222705</v>
          </cell>
          <cell r="N59">
            <v>1.8481324275046853</v>
          </cell>
          <cell r="O59">
            <v>1.6781350543903337</v>
          </cell>
          <cell r="P59">
            <v>1.4921979542441897</v>
          </cell>
          <cell r="Q59">
            <v>2.0514365918659601</v>
          </cell>
          <cell r="AB59">
            <v>2060</v>
          </cell>
          <cell r="AC59">
            <v>56</v>
          </cell>
          <cell r="AD59">
            <v>1.4433851446591319</v>
          </cell>
          <cell r="AE59">
            <v>15.640572022779946</v>
          </cell>
        </row>
        <row r="60">
          <cell r="G60">
            <v>57</v>
          </cell>
          <cell r="H60">
            <v>1.539338226695375</v>
          </cell>
          <cell r="I60">
            <v>1.7547806536405137</v>
          </cell>
          <cell r="J60">
            <v>2.2041862409219166</v>
          </cell>
          <cell r="K60">
            <v>1.0780084832769816</v>
          </cell>
          <cell r="L60">
            <v>2.5340755923822469</v>
          </cell>
          <cell r="M60">
            <v>1.752791291040019</v>
          </cell>
          <cell r="N60">
            <v>1.8616192844300548</v>
          </cell>
          <cell r="O60">
            <v>1.6904168626490095</v>
          </cell>
          <cell r="P60">
            <v>1.5030806340847553</v>
          </cell>
          <cell r="Q60">
            <v>2.0658674724324775</v>
          </cell>
          <cell r="AB60">
            <v>2061</v>
          </cell>
          <cell r="AC60">
            <v>57</v>
          </cell>
          <cell r="AD60">
            <v>1.4620238032940094</v>
          </cell>
          <cell r="AE60">
            <v>15.776597593546995</v>
          </cell>
        </row>
        <row r="61">
          <cell r="G61">
            <v>58</v>
          </cell>
          <cell r="H61">
            <v>1.5504269068427801</v>
          </cell>
          <cell r="I61">
            <v>1.7673012019023353</v>
          </cell>
          <cell r="J61">
            <v>2.2204402903191571</v>
          </cell>
          <cell r="K61">
            <v>1.086004892694119</v>
          </cell>
          <cell r="L61">
            <v>2.5520819089339253</v>
          </cell>
          <cell r="M61">
            <v>1.7654140541577674</v>
          </cell>
          <cell r="N61">
            <v>1.8751061413554242</v>
          </cell>
          <cell r="O61">
            <v>1.7026986709076852</v>
          </cell>
          <cell r="P61">
            <v>1.513963313925321</v>
          </cell>
          <cell r="Q61">
            <v>2.0802983529989949</v>
          </cell>
          <cell r="AB61">
            <v>2062</v>
          </cell>
          <cell r="AC61">
            <v>58</v>
          </cell>
          <cell r="AD61">
            <v>1.4801195883764147</v>
          </cell>
          <cell r="AE61">
            <v>15.910058840122545</v>
          </cell>
        </row>
        <row r="62">
          <cell r="G62">
            <v>59</v>
          </cell>
          <cell r="H62">
            <v>1.5615155869901851</v>
          </cell>
          <cell r="I62">
            <v>1.7798217501641569</v>
          </cell>
          <cell r="J62">
            <v>2.2366943397163976</v>
          </cell>
          <cell r="K62">
            <v>1.0940013021112565</v>
          </cell>
          <cell r="L62">
            <v>2.5700882254856037</v>
          </cell>
          <cell r="M62">
            <v>1.7780368172755159</v>
          </cell>
          <cell r="N62">
            <v>1.8885929982807936</v>
          </cell>
          <cell r="O62">
            <v>1.714980479166361</v>
          </cell>
          <cell r="P62">
            <v>1.5248459937658867</v>
          </cell>
          <cell r="Q62">
            <v>2.0947292335655123</v>
          </cell>
          <cell r="AB62">
            <v>2063</v>
          </cell>
          <cell r="AC62">
            <v>59</v>
          </cell>
          <cell r="AD62">
            <v>1.4976883117573907</v>
          </cell>
          <cell r="AE62">
            <v>16.041013155967622</v>
          </cell>
        </row>
        <row r="63">
          <cell r="G63">
            <v>60</v>
          </cell>
          <cell r="H63">
            <v>1.5726042671375908</v>
          </cell>
          <cell r="I63">
            <v>1.7923422984259791</v>
          </cell>
          <cell r="J63">
            <v>2.2529483891136377</v>
          </cell>
          <cell r="K63">
            <v>1.101997711528393</v>
          </cell>
          <cell r="L63">
            <v>2.5880945420372816</v>
          </cell>
          <cell r="M63">
            <v>1.7906595803932654</v>
          </cell>
          <cell r="N63">
            <v>1.9020798552061629</v>
          </cell>
          <cell r="O63">
            <v>1.7272622874250358</v>
          </cell>
          <cell r="P63">
            <v>1.5357286736064515</v>
          </cell>
          <cell r="Q63">
            <v>2.1091601141320306</v>
          </cell>
          <cell r="AB63">
            <v>2064</v>
          </cell>
          <cell r="AC63">
            <v>60</v>
          </cell>
          <cell r="AD63">
            <v>1.5147453247486296</v>
          </cell>
          <cell r="AE63">
            <v>16.169516084776674</v>
          </cell>
        </row>
        <row r="64">
          <cell r="G64">
            <v>61</v>
          </cell>
          <cell r="H64">
            <v>1.580855287566709</v>
          </cell>
          <cell r="I64">
            <v>1.8016587614695805</v>
          </cell>
          <cell r="J64">
            <v>2.2650429269098589</v>
          </cell>
          <cell r="K64">
            <v>1.1079477908328321</v>
          </cell>
          <cell r="L64">
            <v>2.6014929345410573</v>
          </cell>
          <cell r="M64">
            <v>1.800052103715017</v>
          </cell>
          <cell r="N64">
            <v>1.9121153458220792</v>
          </cell>
          <cell r="O64">
            <v>1.7364011118980802</v>
          </cell>
          <cell r="P64">
            <v>1.5438264119137151</v>
          </cell>
          <cell r="Q64">
            <v>2.1198980468024176</v>
          </cell>
          <cell r="AB64">
            <v>2065</v>
          </cell>
          <cell r="AC64">
            <v>61</v>
          </cell>
          <cell r="AD64">
            <v>1.53130553153624</v>
          </cell>
          <cell r="AE64">
            <v>16.295621399402215</v>
          </cell>
        </row>
        <row r="65">
          <cell r="G65">
            <v>62</v>
          </cell>
          <cell r="H65">
            <v>1.5891063079958272</v>
          </cell>
          <cell r="I65">
            <v>1.8109752245131818</v>
          </cell>
          <cell r="J65">
            <v>2.27713746470608</v>
          </cell>
          <cell r="K65">
            <v>1.1138978701372713</v>
          </cell>
          <cell r="L65">
            <v>2.6148913270448331</v>
          </cell>
          <cell r="M65">
            <v>1.8094446270367686</v>
          </cell>
          <cell r="N65">
            <v>1.9221508364379956</v>
          </cell>
          <cell r="O65">
            <v>1.7455399363711246</v>
          </cell>
          <cell r="P65">
            <v>1.5519241502209786</v>
          </cell>
          <cell r="Q65">
            <v>2.1306359794728045</v>
          </cell>
          <cell r="AB65">
            <v>2066</v>
          </cell>
          <cell r="AC65">
            <v>62</v>
          </cell>
          <cell r="AD65">
            <v>1.5473834022038231</v>
          </cell>
          <cell r="AE65">
            <v>16.41938117717271</v>
          </cell>
        </row>
        <row r="66">
          <cell r="G66">
            <v>63</v>
          </cell>
          <cell r="H66">
            <v>1.5973573284249454</v>
          </cell>
          <cell r="I66">
            <v>1.8202916875567832</v>
          </cell>
          <cell r="J66">
            <v>2.2892320025023012</v>
          </cell>
          <cell r="K66">
            <v>1.1198479494417104</v>
          </cell>
          <cell r="L66">
            <v>2.6282897195486088</v>
          </cell>
          <cell r="M66">
            <v>1.8188371503585201</v>
          </cell>
          <cell r="N66">
            <v>1.9321863270539119</v>
          </cell>
          <cell r="O66">
            <v>1.754678760844169</v>
          </cell>
          <cell r="P66">
            <v>1.5600218885282422</v>
          </cell>
          <cell r="Q66">
            <v>2.1413739121431914</v>
          </cell>
          <cell r="AB66">
            <v>2067</v>
          </cell>
          <cell r="AC66">
            <v>63</v>
          </cell>
          <cell r="AD66">
            <v>1.5629929853762339</v>
          </cell>
          <cell r="AE66">
            <v>16.540845871763661</v>
          </cell>
        </row>
        <row r="67">
          <cell r="G67">
            <v>64</v>
          </cell>
          <cell r="H67">
            <v>1.6056083488540636</v>
          </cell>
          <cell r="I67">
            <v>1.8296081506003845</v>
          </cell>
          <cell r="J67">
            <v>2.3013265402985223</v>
          </cell>
          <cell r="K67">
            <v>1.1257980287461495</v>
          </cell>
          <cell r="L67">
            <v>2.6416881120523845</v>
          </cell>
          <cell r="M67">
            <v>1.8282296736802717</v>
          </cell>
          <cell r="N67">
            <v>1.9422218176698283</v>
          </cell>
          <cell r="O67">
            <v>1.7638175853172133</v>
          </cell>
          <cell r="P67">
            <v>1.5681196268355058</v>
          </cell>
          <cell r="Q67">
            <v>2.1521118448135783</v>
          </cell>
          <cell r="AB67">
            <v>2068</v>
          </cell>
          <cell r="AC67">
            <v>64</v>
          </cell>
          <cell r="AD67">
            <v>1.5781479204950792</v>
          </cell>
          <cell r="AE67">
            <v>16.660064381775157</v>
          </cell>
        </row>
        <row r="68">
          <cell r="G68">
            <v>65</v>
          </cell>
          <cell r="H68">
            <v>1.6138593692831817</v>
          </cell>
          <cell r="I68">
            <v>1.8389246136439859</v>
          </cell>
          <cell r="J68">
            <v>2.3134210780947435</v>
          </cell>
          <cell r="K68">
            <v>1.1317481080505887</v>
          </cell>
          <cell r="L68">
            <v>2.6550865045561602</v>
          </cell>
          <cell r="M68">
            <v>1.8376221970020232</v>
          </cell>
          <cell r="N68">
            <v>1.9522573082857446</v>
          </cell>
          <cell r="O68">
            <v>1.7729564097902577</v>
          </cell>
          <cell r="P68">
            <v>1.5762173651427693</v>
          </cell>
          <cell r="Q68">
            <v>2.1628497774839652</v>
          </cell>
          <cell r="AB68">
            <v>2069</v>
          </cell>
          <cell r="AC68">
            <v>65</v>
          </cell>
          <cell r="AD68">
            <v>1.5928614497366766</v>
          </cell>
          <cell r="AE68">
            <v>16.777084116162651</v>
          </cell>
        </row>
        <row r="69">
          <cell r="G69">
            <v>66</v>
          </cell>
          <cell r="H69">
            <v>1.6221103897122999</v>
          </cell>
          <cell r="I69">
            <v>1.8482410766875872</v>
          </cell>
          <cell r="J69">
            <v>2.3255156158909647</v>
          </cell>
          <cell r="K69">
            <v>1.1376981873550278</v>
          </cell>
          <cell r="L69">
            <v>2.668484897059936</v>
          </cell>
          <cell r="M69">
            <v>1.8470147203237748</v>
          </cell>
          <cell r="N69">
            <v>1.962292798901661</v>
          </cell>
          <cell r="O69">
            <v>1.7820952342633021</v>
          </cell>
          <cell r="P69">
            <v>1.5843151034500329</v>
          </cell>
          <cell r="Q69">
            <v>2.1735877101543521</v>
          </cell>
          <cell r="AB69">
            <v>2070</v>
          </cell>
          <cell r="AC69">
            <v>66</v>
          </cell>
          <cell r="AD69">
            <v>1.6071464295828877</v>
          </cell>
          <cell r="AE69">
            <v>16.891951056661519</v>
          </cell>
        </row>
        <row r="70">
          <cell r="G70">
            <v>67</v>
          </cell>
          <cell r="H70">
            <v>1.6303614101414181</v>
          </cell>
          <cell r="I70">
            <v>1.8575575397311885</v>
          </cell>
          <cell r="J70">
            <v>2.3376101536871858</v>
          </cell>
          <cell r="K70">
            <v>1.1436482666594669</v>
          </cell>
          <cell r="L70">
            <v>2.6818832895637117</v>
          </cell>
          <cell r="M70">
            <v>1.8564072436455263</v>
          </cell>
          <cell r="N70">
            <v>1.9723282895175773</v>
          </cell>
          <cell r="O70">
            <v>1.7912340587363464</v>
          </cell>
          <cell r="P70">
            <v>1.5924128417572965</v>
          </cell>
          <cell r="Q70">
            <v>2.1843256428247391</v>
          </cell>
          <cell r="AB70">
            <v>2071</v>
          </cell>
          <cell r="AC70">
            <v>67</v>
          </cell>
          <cell r="AD70">
            <v>1.6210153420549374</v>
          </cell>
          <cell r="AE70">
            <v>17.004709817339968</v>
          </cell>
        </row>
        <row r="71">
          <cell r="G71">
            <v>68</v>
          </cell>
          <cell r="H71">
            <v>1.6386124305705363</v>
          </cell>
          <cell r="I71">
            <v>1.8668740027747899</v>
          </cell>
          <cell r="J71">
            <v>2.349704691483407</v>
          </cell>
          <cell r="K71">
            <v>1.1495983459639061</v>
          </cell>
          <cell r="L71">
            <v>2.6952816820674874</v>
          </cell>
          <cell r="M71">
            <v>1.8657997669672779</v>
          </cell>
          <cell r="N71">
            <v>1.9823637801334937</v>
          </cell>
          <cell r="O71">
            <v>1.8003728832093908</v>
          </cell>
          <cell r="P71">
            <v>1.60051058006456</v>
          </cell>
          <cell r="Q71">
            <v>2.195063575495126</v>
          </cell>
          <cell r="AB71">
            <v>2072</v>
          </cell>
          <cell r="AC71">
            <v>68</v>
          </cell>
          <cell r="AD71">
            <v>1.6344803056200341</v>
          </cell>
          <cell r="AE71">
            <v>17.115403701409186</v>
          </cell>
        </row>
        <row r="72">
          <cell r="G72">
            <v>69</v>
          </cell>
          <cell r="H72">
            <v>1.6468634509996545</v>
          </cell>
          <cell r="I72">
            <v>1.8761904658183912</v>
          </cell>
          <cell r="J72">
            <v>2.3617992292796282</v>
          </cell>
          <cell r="K72">
            <v>1.1555484252683452</v>
          </cell>
          <cell r="L72">
            <v>2.7086800745712631</v>
          </cell>
          <cell r="M72">
            <v>1.8751922902890295</v>
          </cell>
          <cell r="N72">
            <v>1.99239927074941</v>
          </cell>
          <cell r="O72">
            <v>1.8095117076824352</v>
          </cell>
          <cell r="P72">
            <v>1.6086083183718236</v>
          </cell>
          <cell r="Q72">
            <v>2.2058015081655129</v>
          </cell>
          <cell r="AB72">
            <v>2073</v>
          </cell>
          <cell r="AC72">
            <v>69</v>
          </cell>
          <cell r="AD72">
            <v>1.6475530857803222</v>
          </cell>
          <cell r="AE72">
            <v>17.22407475541403</v>
          </cell>
        </row>
        <row r="73">
          <cell r="G73">
            <v>70</v>
          </cell>
          <cell r="H73">
            <v>1.6551144714287733</v>
          </cell>
          <cell r="I73">
            <v>1.8855069288619923</v>
          </cell>
          <cell r="J73">
            <v>2.3738937670758498</v>
          </cell>
          <cell r="K73">
            <v>1.1614985045727844</v>
          </cell>
          <cell r="L73">
            <v>2.7220784670750406</v>
          </cell>
          <cell r="M73">
            <v>1.8845848136107806</v>
          </cell>
          <cell r="N73">
            <v>2.0024347613653259</v>
          </cell>
          <cell r="O73">
            <v>1.8186505321554804</v>
          </cell>
          <cell r="P73">
            <v>1.6167060566790872</v>
          </cell>
          <cell r="Q73">
            <v>2.2165394408359003</v>
          </cell>
          <cell r="AB73">
            <v>2074</v>
          </cell>
          <cell r="AC73">
            <v>70</v>
          </cell>
          <cell r="AD73">
            <v>1.6602451053534175</v>
          </cell>
          <cell r="AE73">
            <v>17.330763820922417</v>
          </cell>
        </row>
        <row r="74">
          <cell r="G74">
            <v>71</v>
          </cell>
          <cell r="H74">
            <v>1.6633654918578922</v>
          </cell>
          <cell r="I74">
            <v>1.8948233919055935</v>
          </cell>
          <cell r="J74">
            <v>2.3859883048720714</v>
          </cell>
          <cell r="K74">
            <v>1.1674485838772235</v>
          </cell>
          <cell r="L74">
            <v>2.7354768595788181</v>
          </cell>
          <cell r="M74">
            <v>1.8939773369325317</v>
          </cell>
          <cell r="N74">
            <v>2.0124702519812416</v>
          </cell>
          <cell r="O74">
            <v>1.8277893566285257</v>
          </cell>
          <cell r="P74">
            <v>1.6248037949863507</v>
          </cell>
          <cell r="Q74">
            <v>2.2272773735062876</v>
          </cell>
          <cell r="AB74">
            <v>2075</v>
          </cell>
          <cell r="AC74">
            <v>71</v>
          </cell>
          <cell r="AD74">
            <v>1.6725674544535098</v>
          </cell>
          <cell r="AE74">
            <v>17.435510583826421</v>
          </cell>
        </row>
        <row r="75">
          <cell r="AB75">
            <v>2076</v>
          </cell>
          <cell r="AC75">
            <v>72</v>
          </cell>
          <cell r="AD75">
            <v>1.6845309001817552</v>
          </cell>
          <cell r="AE75">
            <v>17.538353621363228</v>
          </cell>
        </row>
        <row r="76">
          <cell r="AB76">
            <v>2077</v>
          </cell>
          <cell r="AC76">
            <v>73</v>
          </cell>
          <cell r="AD76">
            <v>1.6961458960344202</v>
          </cell>
          <cell r="AE76">
            <v>17.63933044695958</v>
          </cell>
        </row>
        <row r="77">
          <cell r="AB77">
            <v>2078</v>
          </cell>
          <cell r="AC77">
            <v>74</v>
          </cell>
          <cell r="AD77">
            <v>1.707422591037008</v>
          </cell>
          <cell r="AE77">
            <v>17.738477552998674</v>
          </cell>
        </row>
        <row r="78">
          <cell r="AB78">
            <v>2079</v>
          </cell>
          <cell r="AC78">
            <v>75</v>
          </cell>
          <cell r="AD78">
            <v>1.7183708386123357</v>
          </cell>
          <cell r="AE78">
            <v>17.835830451604359</v>
          </cell>
        </row>
        <row r="79">
          <cell r="AB79">
            <v>2080</v>
          </cell>
          <cell r="AC79">
            <v>76</v>
          </cell>
          <cell r="AD79">
            <v>1.7290002051903237</v>
          </cell>
          <cell r="AE79">
            <v>17.890024195993831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FF BY MEASURE"/>
      <sheetName val="TOTAL FIRST YEAR"/>
      <sheetName val="Rates&amp;NEB"/>
      <sheetName val="Insulation Calcs"/>
      <sheetName val="Equations"/>
    </sheetNames>
    <sheetDataSet>
      <sheetData sheetId="0" refreshError="1"/>
      <sheetData sheetId="1" refreshError="1"/>
      <sheetData sheetId="2" refreshError="1">
        <row r="5">
          <cell r="B5">
            <v>7.6310000000000003E-2</v>
          </cell>
        </row>
        <row r="7">
          <cell r="B7">
            <v>3.32E-2</v>
          </cell>
        </row>
        <row r="9">
          <cell r="B9">
            <v>4.1700000000000001E-2</v>
          </cell>
        </row>
        <row r="13">
          <cell r="B13">
            <v>0.1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5">
          <cell r="A5" t="str">
            <v>CEILING</v>
          </cell>
          <cell r="B5" t="str">
            <v>CEILING INSULATION ZONE 1</v>
          </cell>
          <cell r="C5">
            <v>101.631</v>
          </cell>
          <cell r="D5">
            <v>1007.7348066298341</v>
          </cell>
          <cell r="E5">
            <v>45</v>
          </cell>
          <cell r="F5" t="str">
            <v>Ceiling Insulation</v>
          </cell>
          <cell r="G5" t="str">
            <v>Equal to or Greater than R-38</v>
          </cell>
        </row>
        <row r="6">
          <cell r="A6" t="str">
            <v>CEILING</v>
          </cell>
          <cell r="B6" t="str">
            <v>CEILING INSULATION ZONE 2</v>
          </cell>
          <cell r="C6">
            <v>98.064999999999998</v>
          </cell>
          <cell r="D6">
            <v>1005.7142857142857</v>
          </cell>
          <cell r="E6">
            <v>45</v>
          </cell>
          <cell r="F6" t="str">
            <v>Ceiling Insulation</v>
          </cell>
          <cell r="G6" t="str">
            <v>Equal to or Greater than R-39</v>
          </cell>
        </row>
        <row r="7">
          <cell r="A7" t="str">
            <v>CEILING</v>
          </cell>
          <cell r="B7" t="str">
            <v>CEILING INSULATION ZONE 3</v>
          </cell>
          <cell r="C7">
            <v>115.89500000000001</v>
          </cell>
          <cell r="D7">
            <v>1009.7087378640778</v>
          </cell>
          <cell r="E7">
            <v>45</v>
          </cell>
          <cell r="F7" t="str">
            <v>Ceiling Insulation</v>
          </cell>
          <cell r="G7" t="str">
            <v>Equal to or Greater than R-40</v>
          </cell>
        </row>
        <row r="8">
          <cell r="A8" t="str">
            <v>FLOOR</v>
          </cell>
          <cell r="B8" t="str">
            <v>FLOOR INSULATION ZONE 1</v>
          </cell>
          <cell r="C8">
            <v>101.631</v>
          </cell>
          <cell r="D8">
            <v>1007.7348066298341</v>
          </cell>
          <cell r="E8">
            <v>45</v>
          </cell>
          <cell r="F8" t="str">
            <v>Floor Insulation</v>
          </cell>
          <cell r="G8" t="str">
            <v>Equal to or Greater than R-30 or to fill cavity</v>
          </cell>
        </row>
        <row r="9">
          <cell r="A9" t="str">
            <v>FLOOR</v>
          </cell>
          <cell r="B9" t="str">
            <v>FLOOR INSULATION ZONE 2</v>
          </cell>
          <cell r="C9">
            <v>98.064999999999998</v>
          </cell>
          <cell r="D9">
            <v>1005.7142857142857</v>
          </cell>
          <cell r="E9">
            <v>45</v>
          </cell>
          <cell r="F9" t="str">
            <v>Floor Insulation</v>
          </cell>
          <cell r="G9" t="str">
            <v>Equal to or Greater than R-30 or to fill cavity</v>
          </cell>
        </row>
        <row r="10">
          <cell r="A10" t="str">
            <v>FLOOR</v>
          </cell>
          <cell r="B10" t="str">
            <v>FLOOR INSULATION ZONE 3</v>
          </cell>
          <cell r="C10">
            <v>115.89500000000001</v>
          </cell>
          <cell r="D10">
            <v>1009.7087378640778</v>
          </cell>
          <cell r="E10">
            <v>45</v>
          </cell>
          <cell r="F10" t="str">
            <v>Floor Insulation</v>
          </cell>
          <cell r="G10" t="str">
            <v>Equal to or Greater than R-30 or to fill cavity</v>
          </cell>
        </row>
        <row r="11">
          <cell r="A11" t="str">
            <v>N-A102</v>
          </cell>
          <cell r="B11" t="str">
            <v>MEF 2.0 Washer</v>
          </cell>
          <cell r="C11">
            <v>2.9701291199999935</v>
          </cell>
          <cell r="D11">
            <v>33.200000000000003</v>
          </cell>
          <cell r="E11">
            <v>12</v>
          </cell>
        </row>
        <row r="12">
          <cell r="A12" t="str">
            <v>N-A103</v>
          </cell>
          <cell r="B12" t="str">
            <v>Estar Dishwasher</v>
          </cell>
          <cell r="C12">
            <v>2.5504325100000003</v>
          </cell>
          <cell r="D12">
            <v>38</v>
          </cell>
          <cell r="E12">
            <v>12</v>
          </cell>
        </row>
        <row r="13">
          <cell r="A13" t="str">
            <v>N-A105</v>
          </cell>
          <cell r="B13" t="str">
            <v>Hi-eff Washer</v>
          </cell>
          <cell r="C13">
            <v>3.510152596363632</v>
          </cell>
          <cell r="D13">
            <v>49.8</v>
          </cell>
          <cell r="E13">
            <v>12</v>
          </cell>
        </row>
        <row r="14">
          <cell r="A14" t="str">
            <v>N-DG101</v>
          </cell>
          <cell r="B14" t="str">
            <v>Tank upgrade (50 gal gas)</v>
          </cell>
          <cell r="C14">
            <v>13.125695216907701</v>
          </cell>
          <cell r="D14">
            <v>350</v>
          </cell>
          <cell r="E14">
            <v>15</v>
          </cell>
        </row>
        <row r="15">
          <cell r="A15" t="str">
            <v>N-DG102</v>
          </cell>
          <cell r="B15" t="str">
            <v>Tank upgrade (50 gal gas) condensing</v>
          </cell>
          <cell r="C15">
            <v>66.238973536487578</v>
          </cell>
          <cell r="D15">
            <v>2500</v>
          </cell>
          <cell r="E15">
            <v>15</v>
          </cell>
        </row>
        <row r="16">
          <cell r="A16" t="str">
            <v>N-DG103</v>
          </cell>
          <cell r="B16" t="str">
            <v>Solar hot water heater (50 gal) - Solar Zone 2.  With gas backup.</v>
          </cell>
          <cell r="C16">
            <v>112.67904509283822</v>
          </cell>
          <cell r="D16">
            <v>3850</v>
          </cell>
          <cell r="E16">
            <v>20</v>
          </cell>
        </row>
        <row r="17">
          <cell r="A17" t="str">
            <v>N-DG104</v>
          </cell>
          <cell r="B17" t="str">
            <v>Tankless Gas heater</v>
          </cell>
          <cell r="C17">
            <v>42.714932126696823</v>
          </cell>
          <cell r="D17">
            <v>800</v>
          </cell>
          <cell r="E17">
            <v>20</v>
          </cell>
          <cell r="F17" t="str">
            <v>.81 Tankless W.H.  (new const. upgrade)</v>
          </cell>
          <cell r="G17" t="str">
            <v>0.81 EF Above Energy Star Home</v>
          </cell>
        </row>
        <row r="18">
          <cell r="A18" t="str">
            <v>N-GD106</v>
          </cell>
          <cell r="B18" t="str">
            <v>Tank upgrade (50 gal gas) Hi Eff Alternative</v>
          </cell>
          <cell r="C18">
            <v>76.847290640394107</v>
          </cell>
          <cell r="D18">
            <v>585</v>
          </cell>
          <cell r="E18">
            <v>15</v>
          </cell>
        </row>
        <row r="19">
          <cell r="A19" t="str">
            <v>N-GD107</v>
          </cell>
          <cell r="B19" t="str">
            <v>Solar hot water heater (50 gal) - With gas backup.</v>
          </cell>
          <cell r="C19">
            <v>116.78425531914893</v>
          </cell>
          <cell r="D19">
            <v>6430.2853608247415</v>
          </cell>
          <cell r="E19">
            <v>20</v>
          </cell>
        </row>
        <row r="20">
          <cell r="A20" t="str">
            <v>N-GD108</v>
          </cell>
          <cell r="B20" t="str">
            <v>Tankless Gas heater</v>
          </cell>
          <cell r="C20">
            <v>94.117647058823479</v>
          </cell>
          <cell r="D20">
            <v>1050</v>
          </cell>
          <cell r="E20">
            <v>20</v>
          </cell>
        </row>
        <row r="21">
          <cell r="A21" t="str">
            <v>N-GD109</v>
          </cell>
          <cell r="B21" t="str">
            <v>Upgrade to Navien Tankless Gas heater</v>
          </cell>
          <cell r="C21">
            <v>13.747521480502304</v>
          </cell>
          <cell r="D21">
            <v>150</v>
          </cell>
          <cell r="E21">
            <v>20</v>
          </cell>
        </row>
        <row r="22">
          <cell r="A22" t="str">
            <v>N-GH129</v>
          </cell>
          <cell r="B22" t="str">
            <v>E* Insulation, Ducts, DHW, Lights (Gas Z 3)</v>
          </cell>
          <cell r="C22">
            <v>172.78918815544239</v>
          </cell>
          <cell r="D22">
            <v>1398</v>
          </cell>
          <cell r="E22">
            <v>45</v>
          </cell>
        </row>
        <row r="23">
          <cell r="A23" t="str">
            <v>N-GH130</v>
          </cell>
          <cell r="B23" t="str">
            <v>Heating upgrade (AFUE 90) (Z 3)</v>
          </cell>
          <cell r="C23">
            <v>84.103236843220017</v>
          </cell>
          <cell r="D23">
            <v>150</v>
          </cell>
          <cell r="E23">
            <v>15</v>
          </cell>
        </row>
        <row r="24">
          <cell r="A24" t="str">
            <v>N-GH131</v>
          </cell>
          <cell r="B24" t="str">
            <v>Window U=.3 (Gas Z 3)</v>
          </cell>
          <cell r="C24">
            <v>19.434999999999999</v>
          </cell>
          <cell r="D24">
            <v>183</v>
          </cell>
          <cell r="E24">
            <v>45</v>
          </cell>
        </row>
        <row r="25">
          <cell r="A25" t="str">
            <v>N-GH132</v>
          </cell>
          <cell r="B25" t="str">
            <v>HRV, E* (Gas Z 3)</v>
          </cell>
          <cell r="C25">
            <v>125.58</v>
          </cell>
          <cell r="D25">
            <v>300</v>
          </cell>
          <cell r="E25">
            <v>15</v>
          </cell>
        </row>
        <row r="26">
          <cell r="A26" t="str">
            <v>N-GH133</v>
          </cell>
          <cell r="B26" t="str">
            <v>Ducts Indoor, DHW, Lights (Gas Z 3)</v>
          </cell>
          <cell r="C26">
            <v>163.10284751802882</v>
          </cell>
          <cell r="D26">
            <v>775</v>
          </cell>
          <cell r="E26">
            <v>45</v>
          </cell>
        </row>
        <row r="27">
          <cell r="A27" t="str">
            <v>N-GH134</v>
          </cell>
          <cell r="B27" t="str">
            <v>E* Insulation, Ducts, DHW, Lights (Gas Z 4)</v>
          </cell>
          <cell r="C27">
            <v>123.52440659565997</v>
          </cell>
          <cell r="D27">
            <v>1398</v>
          </cell>
          <cell r="E27">
            <v>45</v>
          </cell>
        </row>
        <row r="28">
          <cell r="A28" t="str">
            <v>N-GH135</v>
          </cell>
          <cell r="B28" t="str">
            <v>Heating upgrade (AFUE 90) (Z 4)</v>
          </cell>
          <cell r="C28">
            <v>63.400901620273551</v>
          </cell>
          <cell r="D28">
            <v>150</v>
          </cell>
          <cell r="E28">
            <v>15</v>
          </cell>
        </row>
        <row r="29">
          <cell r="A29" t="str">
            <v>N-GH136</v>
          </cell>
          <cell r="B29" t="str">
            <v>Window U=.3 (Gas Z 4)</v>
          </cell>
          <cell r="C29">
            <v>14.651</v>
          </cell>
          <cell r="D29">
            <v>183</v>
          </cell>
          <cell r="E29">
            <v>45</v>
          </cell>
        </row>
        <row r="30">
          <cell r="A30" t="str">
            <v>N-GH137</v>
          </cell>
          <cell r="B30" t="str">
            <v>HRV, E* (Gas Z 4)</v>
          </cell>
          <cell r="C30">
            <v>94.668000000000006</v>
          </cell>
          <cell r="D30">
            <v>300</v>
          </cell>
          <cell r="E30">
            <v>15</v>
          </cell>
        </row>
        <row r="31">
          <cell r="A31" t="str">
            <v>N-GH138</v>
          </cell>
          <cell r="B31" t="str">
            <v>Ducts Indoor, DHW, Lights (Gas Z 4)</v>
          </cell>
          <cell r="C31">
            <v>122.95445428282173</v>
          </cell>
          <cell r="D31">
            <v>775</v>
          </cell>
          <cell r="E31">
            <v>45</v>
          </cell>
        </row>
        <row r="32">
          <cell r="A32" t="str">
            <v>N-GH139</v>
          </cell>
          <cell r="B32" t="str">
            <v>Tank upgrade (50 gal gas)</v>
          </cell>
          <cell r="C32">
            <v>28.921023359288096</v>
          </cell>
          <cell r="D32">
            <v>200</v>
          </cell>
          <cell r="E32">
            <v>15</v>
          </cell>
        </row>
        <row r="33">
          <cell r="A33" t="str">
            <v>N-H101</v>
          </cell>
          <cell r="B33" t="str">
            <v>E* Insulation, Ducts, Zone 1</v>
          </cell>
          <cell r="C33">
            <v>94.5</v>
          </cell>
          <cell r="D33">
            <v>1000</v>
          </cell>
          <cell r="E33">
            <v>30</v>
          </cell>
          <cell r="F33" t="str">
            <v>Energy * Qualified Gas</v>
          </cell>
          <cell r="G33" t="str">
            <v>90% AFUE Rating</v>
          </cell>
        </row>
        <row r="34">
          <cell r="A34" t="str">
            <v>N-H102</v>
          </cell>
          <cell r="B34" t="str">
            <v>E* Insulation, Ducts, Zone 2</v>
          </cell>
          <cell r="C34">
            <v>101.7</v>
          </cell>
          <cell r="D34">
            <v>1000</v>
          </cell>
          <cell r="E34">
            <v>30</v>
          </cell>
          <cell r="F34" t="str">
            <v>Energy * Qualified Gas</v>
          </cell>
          <cell r="G34" t="str">
            <v>90% AFUE Rating</v>
          </cell>
        </row>
        <row r="35">
          <cell r="A35" t="str">
            <v>N-H103</v>
          </cell>
          <cell r="B35" t="str">
            <v>E* Insulation, Ducts, Zone 3</v>
          </cell>
          <cell r="C35">
            <v>126</v>
          </cell>
          <cell r="D35">
            <v>1000</v>
          </cell>
          <cell r="E35">
            <v>30</v>
          </cell>
          <cell r="F35" t="str">
            <v>Energy * Qualified Gas</v>
          </cell>
          <cell r="G35" t="str">
            <v>90% AFUE Rating</v>
          </cell>
        </row>
        <row r="36">
          <cell r="A36" t="str">
            <v>N-H104</v>
          </cell>
          <cell r="B36" t="str">
            <v>Heating upgrade (AFUE 90), Zone 1</v>
          </cell>
          <cell r="C36">
            <v>61.2</v>
          </cell>
          <cell r="D36">
            <v>500</v>
          </cell>
          <cell r="E36">
            <v>18</v>
          </cell>
          <cell r="F36" t="str">
            <v>90% AFUE New Gas Furnace (New)</v>
          </cell>
          <cell r="G36" t="str">
            <v>90% AFUE Rating</v>
          </cell>
        </row>
        <row r="37">
          <cell r="A37" t="str">
            <v>N-H105</v>
          </cell>
          <cell r="B37" t="str">
            <v>Heating upgrade (AFUE 90), Zone 2</v>
          </cell>
          <cell r="C37">
            <v>81</v>
          </cell>
          <cell r="D37">
            <v>500</v>
          </cell>
          <cell r="E37">
            <v>18</v>
          </cell>
          <cell r="F37" t="str">
            <v>90% AFUE New Gas Furnace (New)</v>
          </cell>
          <cell r="G37" t="str">
            <v>90% AFUE Rating</v>
          </cell>
        </row>
        <row r="38">
          <cell r="A38" t="str">
            <v>N-H106</v>
          </cell>
          <cell r="B38" t="str">
            <v>Heating upgrade (AFUE 90), Zone 3</v>
          </cell>
          <cell r="C38">
            <v>64.8</v>
          </cell>
          <cell r="D38">
            <v>500</v>
          </cell>
          <cell r="E38">
            <v>18</v>
          </cell>
          <cell r="F38" t="str">
            <v>90% AFUE New Gas Furnace (New)</v>
          </cell>
          <cell r="G38" t="str">
            <v>90% AFUE Rating</v>
          </cell>
        </row>
        <row r="39">
          <cell r="A39" t="str">
            <v>N-H107</v>
          </cell>
          <cell r="B39" t="str">
            <v>Window U=.3, Zone 1</v>
          </cell>
          <cell r="C39">
            <v>28.8</v>
          </cell>
          <cell r="D39">
            <v>720</v>
          </cell>
          <cell r="E39">
            <v>45</v>
          </cell>
        </row>
        <row r="40">
          <cell r="A40" t="str">
            <v>N-H108</v>
          </cell>
          <cell r="B40" t="str">
            <v>Window U=.3, Zone 2</v>
          </cell>
          <cell r="C40">
            <v>31.5</v>
          </cell>
          <cell r="D40">
            <v>720</v>
          </cell>
          <cell r="E40">
            <v>45</v>
          </cell>
        </row>
        <row r="41">
          <cell r="A41" t="str">
            <v>N-H109</v>
          </cell>
          <cell r="B41" t="str">
            <v>Window U=.3, Zone 3</v>
          </cell>
          <cell r="C41">
            <v>36</v>
          </cell>
          <cell r="D41">
            <v>720</v>
          </cell>
          <cell r="E41">
            <v>45</v>
          </cell>
        </row>
        <row r="42">
          <cell r="A42" t="str">
            <v>N-H110</v>
          </cell>
          <cell r="B42" t="str">
            <v>HRV, E*, Zone 1</v>
          </cell>
          <cell r="C42">
            <v>76.5</v>
          </cell>
          <cell r="D42">
            <v>1500</v>
          </cell>
          <cell r="E42">
            <v>45</v>
          </cell>
        </row>
        <row r="43">
          <cell r="A43" t="str">
            <v>N-H111</v>
          </cell>
          <cell r="B43" t="str">
            <v>HRV, E*, Zone 2</v>
          </cell>
          <cell r="C43">
            <v>81</v>
          </cell>
          <cell r="D43">
            <v>1500</v>
          </cell>
          <cell r="E43">
            <v>45</v>
          </cell>
        </row>
        <row r="44">
          <cell r="A44" t="str">
            <v>N-H112</v>
          </cell>
          <cell r="B44" t="str">
            <v>HRV, E*, Zone 3</v>
          </cell>
          <cell r="C44">
            <v>93.6</v>
          </cell>
          <cell r="D44">
            <v>1500</v>
          </cell>
          <cell r="E44">
            <v>45</v>
          </cell>
        </row>
        <row r="45">
          <cell r="A45" t="str">
            <v>N-H113</v>
          </cell>
          <cell r="B45" t="str">
            <v>E* Plus (FTC) Insulation, Zone 1</v>
          </cell>
          <cell r="C45">
            <v>220.5</v>
          </cell>
          <cell r="D45">
            <v>3700</v>
          </cell>
          <cell r="E45">
            <v>30</v>
          </cell>
          <cell r="F45" t="str">
            <v>Energy * Plus</v>
          </cell>
          <cell r="G45" t="str">
            <v>Federal Tax Credit Eligible</v>
          </cell>
        </row>
        <row r="46">
          <cell r="A46" t="str">
            <v>N-H114</v>
          </cell>
          <cell r="B46" t="str">
            <v>E* Plus (FTC) Insulation, Zone 2</v>
          </cell>
          <cell r="C46">
            <v>234.9</v>
          </cell>
          <cell r="D46">
            <v>3700</v>
          </cell>
          <cell r="E46">
            <v>30</v>
          </cell>
          <cell r="F46" t="str">
            <v>Energy * Plus</v>
          </cell>
          <cell r="G46" t="str">
            <v>Federal Tax Credit Eligible</v>
          </cell>
        </row>
        <row r="47">
          <cell r="A47" t="str">
            <v>N-H115</v>
          </cell>
          <cell r="B47" t="str">
            <v>E* Plus (FTC) Insulation, Zone 3</v>
          </cell>
          <cell r="C47">
            <v>296.10000000000002</v>
          </cell>
          <cell r="D47">
            <v>3700</v>
          </cell>
          <cell r="E47">
            <v>30</v>
          </cell>
          <cell r="F47" t="str">
            <v>Energy * Plus</v>
          </cell>
          <cell r="G47" t="str">
            <v>Federal Tax Credit Eligible</v>
          </cell>
        </row>
        <row r="48">
          <cell r="A48" t="str">
            <v>R-A102</v>
          </cell>
          <cell r="B48" t="str">
            <v>MEF 2.0 Washer</v>
          </cell>
          <cell r="C48">
            <v>5.6</v>
          </cell>
          <cell r="D48">
            <v>113</v>
          </cell>
          <cell r="E48">
            <v>12</v>
          </cell>
          <cell r="F48" t="str">
            <v>2.0 MEF E* Clothes Washer</v>
          </cell>
          <cell r="G48" t="str">
            <v>2.0 MEF</v>
          </cell>
        </row>
        <row r="49">
          <cell r="A49" t="str">
            <v>R-A103</v>
          </cell>
          <cell r="B49" t="str">
            <v>Estar Dishwasher</v>
          </cell>
          <cell r="C49">
            <v>2.1501899999999998</v>
          </cell>
          <cell r="D49">
            <v>38</v>
          </cell>
          <cell r="E49">
            <v>12</v>
          </cell>
        </row>
        <row r="50">
          <cell r="A50" t="str">
            <v>R-DG101</v>
          </cell>
          <cell r="B50" t="str">
            <v>Tank upgrade (50 gal gas)</v>
          </cell>
          <cell r="C50">
            <v>13.125695216907701</v>
          </cell>
          <cell r="D50">
            <v>350</v>
          </cell>
          <cell r="E50">
            <v>15</v>
          </cell>
          <cell r="F50" t="str">
            <v>.62 Water Heater</v>
          </cell>
          <cell r="G50" t="str">
            <v>0.62 Energy Factor or Greater</v>
          </cell>
        </row>
        <row r="51">
          <cell r="A51" t="str">
            <v>R-DG102</v>
          </cell>
          <cell r="B51" t="str">
            <v>Tank upgrade (50 gal gas) condensing</v>
          </cell>
          <cell r="C51">
            <v>66.238973536487578</v>
          </cell>
          <cell r="D51">
            <v>2500</v>
          </cell>
          <cell r="E51">
            <v>15</v>
          </cell>
        </row>
        <row r="52">
          <cell r="A52" t="str">
            <v>R-DG103</v>
          </cell>
          <cell r="B52" t="str">
            <v>Solar hot water heater (50 gal) - Solar Zone 2.  With gas backup.</v>
          </cell>
          <cell r="C52">
            <v>112.67904509283822</v>
          </cell>
          <cell r="D52">
            <v>3850</v>
          </cell>
          <cell r="E52">
            <v>20</v>
          </cell>
        </row>
        <row r="53">
          <cell r="A53" t="str">
            <v>R-DG104</v>
          </cell>
          <cell r="B53" t="str">
            <v>Tankless Gas heater</v>
          </cell>
          <cell r="C53">
            <v>42.714932126696823</v>
          </cell>
          <cell r="D53">
            <v>800</v>
          </cell>
          <cell r="E53">
            <v>20</v>
          </cell>
          <cell r="F53" t="str">
            <v>.81 Tankless Water Heater (replace)</v>
          </cell>
          <cell r="G53" t="str">
            <v>0.81 Energy Factor</v>
          </cell>
        </row>
        <row r="54">
          <cell r="A54" t="str">
            <v>R-GD110</v>
          </cell>
          <cell r="B54" t="str">
            <v>Tankless Gas heater replace</v>
          </cell>
          <cell r="C54">
            <v>94.117647058823479</v>
          </cell>
          <cell r="D54">
            <v>800</v>
          </cell>
          <cell r="E54">
            <v>20</v>
          </cell>
        </row>
        <row r="55">
          <cell r="A55" t="str">
            <v>R-GD111</v>
          </cell>
          <cell r="B55" t="str">
            <v>Tank upgrade (50 gal gas) Hi Eff Alternative</v>
          </cell>
          <cell r="C55">
            <v>76.847290640394107</v>
          </cell>
          <cell r="D55">
            <v>585</v>
          </cell>
          <cell r="E55">
            <v>15</v>
          </cell>
        </row>
        <row r="56">
          <cell r="A56" t="str">
            <v>R-GD112</v>
          </cell>
          <cell r="B56" t="str">
            <v>Upgrade to Navien Tankless Gas heater</v>
          </cell>
          <cell r="C56">
            <v>13.747521480502304</v>
          </cell>
          <cell r="D56">
            <v>150</v>
          </cell>
          <cell r="E56">
            <v>20</v>
          </cell>
        </row>
        <row r="57">
          <cell r="A57" t="str">
            <v>R-GD113</v>
          </cell>
          <cell r="B57" t="str">
            <v>Solar hot water heater (50 gal) - With gas backup.</v>
          </cell>
          <cell r="C57">
            <v>116.78425531914893</v>
          </cell>
          <cell r="D57">
            <v>6430.2853608247415</v>
          </cell>
          <cell r="E57">
            <v>20</v>
          </cell>
        </row>
        <row r="58">
          <cell r="A58" t="str">
            <v>R-GH114</v>
          </cell>
          <cell r="B58" t="str">
            <v>Duct Sealing,  Z 3</v>
          </cell>
          <cell r="C58">
            <v>160.60137954288945</v>
          </cell>
          <cell r="D58">
            <v>619</v>
          </cell>
          <cell r="E58">
            <v>20</v>
          </cell>
        </row>
        <row r="59">
          <cell r="A59" t="str">
            <v>R-GH115</v>
          </cell>
          <cell r="B59" t="str">
            <v>AFUE 90 to hydrocoil combo, Z 3</v>
          </cell>
          <cell r="C59">
            <v>171.60567326367018</v>
          </cell>
          <cell r="D59">
            <v>300</v>
          </cell>
          <cell r="E59">
            <v>45</v>
          </cell>
        </row>
        <row r="60">
          <cell r="A60" t="str">
            <v>R-GH116</v>
          </cell>
          <cell r="B60" t="str">
            <v>Boiler to Polaris Combo radiant, Z 3</v>
          </cell>
          <cell r="C60">
            <v>398.56802919597578</v>
          </cell>
          <cell r="D60">
            <v>4400</v>
          </cell>
          <cell r="E60">
            <v>45</v>
          </cell>
        </row>
        <row r="61">
          <cell r="A61" t="str">
            <v>R-GH117</v>
          </cell>
          <cell r="B61" t="str">
            <v>Duct Sealing,  Z 4</v>
          </cell>
          <cell r="C61">
            <v>151.29711399304443</v>
          </cell>
          <cell r="D61">
            <v>619</v>
          </cell>
          <cell r="E61">
            <v>20</v>
          </cell>
        </row>
        <row r="62">
          <cell r="A62" t="str">
            <v>R-GH118</v>
          </cell>
          <cell r="B62" t="str">
            <v>AFUE 90 to hydrocoil combo, Z 4</v>
          </cell>
          <cell r="C62">
            <v>168.58131406305466</v>
          </cell>
          <cell r="D62">
            <v>300</v>
          </cell>
          <cell r="E62">
            <v>45</v>
          </cell>
        </row>
        <row r="63">
          <cell r="A63" t="str">
            <v>R-GH119</v>
          </cell>
          <cell r="B63" t="str">
            <v>Boiler to Polaris Combo radiant, Z 4</v>
          </cell>
          <cell r="C63">
            <v>381.35511159032558</v>
          </cell>
          <cell r="D63">
            <v>4400</v>
          </cell>
          <cell r="E63">
            <v>45</v>
          </cell>
        </row>
        <row r="64">
          <cell r="A64" t="str">
            <v>R-GH122</v>
          </cell>
          <cell r="B64" t="str">
            <v>AFUE 90+ Furnace, Z 3</v>
          </cell>
          <cell r="C64">
            <v>77.143331535369825</v>
          </cell>
          <cell r="D64">
            <v>300</v>
          </cell>
          <cell r="E64">
            <v>18</v>
          </cell>
        </row>
        <row r="65">
          <cell r="A65" t="str">
            <v>R-GH123</v>
          </cell>
          <cell r="B65" t="str">
            <v>Duct Sealing and AFUE 90+ , Z 3</v>
          </cell>
          <cell r="C65">
            <v>160.60137954288945</v>
          </cell>
          <cell r="D65">
            <v>1600</v>
          </cell>
          <cell r="E65">
            <v>20</v>
          </cell>
        </row>
        <row r="66">
          <cell r="A66" t="str">
            <v>R-GH124</v>
          </cell>
          <cell r="B66" t="str">
            <v>AFUE 90+ Furnace, Z 4</v>
          </cell>
          <cell r="C66">
            <v>77.143331535369825</v>
          </cell>
          <cell r="D66">
            <v>300</v>
          </cell>
          <cell r="E66">
            <v>18</v>
          </cell>
        </row>
        <row r="67">
          <cell r="A67" t="str">
            <v>R-GH125</v>
          </cell>
          <cell r="B67" t="str">
            <v>Duct Sealing and AFUE 90+ , Z 4</v>
          </cell>
          <cell r="C67">
            <v>151.29711399304443</v>
          </cell>
          <cell r="D67">
            <v>1600</v>
          </cell>
          <cell r="E67">
            <v>20</v>
          </cell>
        </row>
        <row r="68">
          <cell r="A68" t="str">
            <v>R-GW117</v>
          </cell>
          <cell r="B68" t="str">
            <v>Wx insulation (ceiling, floor), Z 1-2</v>
          </cell>
          <cell r="C68">
            <v>322.22636417500001</v>
          </cell>
          <cell r="D68">
            <v>2099</v>
          </cell>
          <cell r="E68">
            <v>45</v>
          </cell>
        </row>
        <row r="69">
          <cell r="A69" t="str">
            <v>R-GW118</v>
          </cell>
          <cell r="B69" t="str">
            <v>Wx insulation (add walls), Z 1-2</v>
          </cell>
          <cell r="C69">
            <v>260.71676622499996</v>
          </cell>
          <cell r="D69">
            <v>1305</v>
          </cell>
          <cell r="E69">
            <v>45</v>
          </cell>
        </row>
        <row r="70">
          <cell r="A70" t="str">
            <v>R-GW119</v>
          </cell>
          <cell r="B70" t="str">
            <v>Window, retro (U=.35), Z 1-2</v>
          </cell>
          <cell r="C70">
            <v>154.92191476249997</v>
          </cell>
          <cell r="D70">
            <v>4500</v>
          </cell>
          <cell r="E70">
            <v>45</v>
          </cell>
        </row>
        <row r="71">
          <cell r="A71" t="str">
            <v>R-GW120</v>
          </cell>
          <cell r="B71" t="str">
            <v>Window replace (U=.35), Z 1-2</v>
          </cell>
          <cell r="C71">
            <v>19.365239345312496</v>
          </cell>
          <cell r="D71">
            <v>350</v>
          </cell>
          <cell r="E71">
            <v>45</v>
          </cell>
        </row>
        <row r="72">
          <cell r="A72" t="str">
            <v>R-GW121</v>
          </cell>
          <cell r="B72" t="str">
            <v>HRV, Z 1-2</v>
          </cell>
          <cell r="C72">
            <v>58.700080343749981</v>
          </cell>
          <cell r="D72">
            <v>2000</v>
          </cell>
          <cell r="E72">
            <v>36</v>
          </cell>
        </row>
        <row r="73">
          <cell r="A73" t="str">
            <v>R-GW122</v>
          </cell>
          <cell r="B73" t="str">
            <v>Wx insulation (ceiling, floor), Z 3</v>
          </cell>
          <cell r="C73">
            <v>450.30187691249995</v>
          </cell>
          <cell r="D73">
            <v>2099</v>
          </cell>
          <cell r="E73">
            <v>45</v>
          </cell>
        </row>
        <row r="74">
          <cell r="A74" t="str">
            <v>R-GW123</v>
          </cell>
          <cell r="B74" t="str">
            <v>Wx insulation (add walls), Z 3</v>
          </cell>
          <cell r="C74">
            <v>379.38024886249991</v>
          </cell>
          <cell r="D74">
            <v>1305</v>
          </cell>
          <cell r="E74">
            <v>45</v>
          </cell>
        </row>
        <row r="75">
          <cell r="A75" t="str">
            <v>R-GW124</v>
          </cell>
          <cell r="B75" t="str">
            <v>Window, retro (U=.35), Z 3</v>
          </cell>
          <cell r="C75">
            <v>223.63618506250003</v>
          </cell>
          <cell r="D75">
            <v>4500</v>
          </cell>
          <cell r="E75">
            <v>45</v>
          </cell>
        </row>
        <row r="76">
          <cell r="A76" t="str">
            <v>R-GW125</v>
          </cell>
          <cell r="B76" t="str">
            <v>Window replace (U=.35), Z 3</v>
          </cell>
          <cell r="C76">
            <v>27.954523132812504</v>
          </cell>
          <cell r="D76">
            <v>350</v>
          </cell>
          <cell r="E76">
            <v>45</v>
          </cell>
        </row>
        <row r="77">
          <cell r="A77" t="str">
            <v>R-GW126</v>
          </cell>
          <cell r="B77" t="str">
            <v>HRV, Z 3</v>
          </cell>
          <cell r="C77">
            <v>89.166715462499965</v>
          </cell>
          <cell r="D77">
            <v>2000</v>
          </cell>
          <cell r="E77">
            <v>18</v>
          </cell>
        </row>
        <row r="78">
          <cell r="A78" t="str">
            <v>R-GW127</v>
          </cell>
          <cell r="B78" t="str">
            <v>Wx insulation (ceiling, floor), Z 4</v>
          </cell>
          <cell r="C78">
            <v>450.30187691249995</v>
          </cell>
          <cell r="D78">
            <v>2099</v>
          </cell>
          <cell r="E78">
            <v>45</v>
          </cell>
        </row>
        <row r="79">
          <cell r="A79" t="str">
            <v>R-GW128</v>
          </cell>
          <cell r="B79" t="str">
            <v>Wx insulation (add walls), Z 4</v>
          </cell>
          <cell r="C79">
            <v>379.38024886249991</v>
          </cell>
          <cell r="D79">
            <v>1305</v>
          </cell>
          <cell r="E79">
            <v>45</v>
          </cell>
        </row>
        <row r="80">
          <cell r="A80" t="str">
            <v>R-GW129</v>
          </cell>
          <cell r="B80" t="str">
            <v>Window, retro (U=.35), Z 4</v>
          </cell>
          <cell r="C80">
            <v>223.63618506250003</v>
          </cell>
          <cell r="D80">
            <v>4500</v>
          </cell>
          <cell r="E80">
            <v>45</v>
          </cell>
        </row>
        <row r="81">
          <cell r="A81" t="str">
            <v>R-GW130</v>
          </cell>
          <cell r="B81" t="str">
            <v>Window replace (U=.35), Z 4</v>
          </cell>
          <cell r="C81">
            <v>27.954523132812504</v>
          </cell>
          <cell r="D81">
            <v>350</v>
          </cell>
          <cell r="E81">
            <v>45</v>
          </cell>
        </row>
        <row r="82">
          <cell r="A82" t="str">
            <v>R-GW131</v>
          </cell>
          <cell r="B82" t="str">
            <v>HRV, Z 4</v>
          </cell>
          <cell r="C82">
            <v>89.166715462499965</v>
          </cell>
          <cell r="D82">
            <v>2000</v>
          </cell>
          <cell r="E82">
            <v>18</v>
          </cell>
        </row>
        <row r="83">
          <cell r="A83" t="str">
            <v>R-H101</v>
          </cell>
          <cell r="B83" t="str">
            <v>Duct Sealing, Zone 1</v>
          </cell>
          <cell r="C83">
            <v>87.5</v>
          </cell>
          <cell r="D83">
            <v>800</v>
          </cell>
          <cell r="E83">
            <v>20</v>
          </cell>
          <cell r="F83" t="str">
            <v>PTCS Duct Sealing</v>
          </cell>
          <cell r="G83" t="str">
            <v>PTCS Certified Duct Sealing</v>
          </cell>
        </row>
        <row r="84">
          <cell r="A84" t="str">
            <v>R-H102</v>
          </cell>
          <cell r="B84" t="str">
            <v>Duct Sealing, Zone 2</v>
          </cell>
          <cell r="C84">
            <v>77</v>
          </cell>
          <cell r="D84">
            <v>800</v>
          </cell>
          <cell r="E84">
            <v>20</v>
          </cell>
          <cell r="F84" t="str">
            <v>PTCS Duct Sealing</v>
          </cell>
          <cell r="G84" t="str">
            <v>PTCS Certified Duct Sealing</v>
          </cell>
        </row>
        <row r="85">
          <cell r="A85" t="str">
            <v>R-H103</v>
          </cell>
          <cell r="B85" t="str">
            <v>Duct Sealing, Zone 3</v>
          </cell>
          <cell r="C85">
            <v>113.4</v>
          </cell>
          <cell r="D85">
            <v>800</v>
          </cell>
          <cell r="E85">
            <v>20</v>
          </cell>
          <cell r="F85" t="str">
            <v>PTCS Duct Sealing</v>
          </cell>
          <cell r="G85" t="str">
            <v>PTCS Certified Duct Sealing</v>
          </cell>
        </row>
        <row r="86">
          <cell r="A86" t="str">
            <v>R-H104</v>
          </cell>
          <cell r="B86" t="str">
            <v>AFUE 90+ Furnace, Zone 1</v>
          </cell>
          <cell r="C86">
            <v>81.207699999999988</v>
          </cell>
          <cell r="D86">
            <v>800</v>
          </cell>
          <cell r="E86">
            <v>18</v>
          </cell>
          <cell r="F86" t="str">
            <v>90% AFUE New Gas Furnace (Existing)</v>
          </cell>
          <cell r="G86" t="str">
            <v>90% AFUE Rating</v>
          </cell>
        </row>
        <row r="87">
          <cell r="A87" t="str">
            <v>R-H105</v>
          </cell>
          <cell r="B87" t="str">
            <v>AFUE 90+ Furnace, Zone 2</v>
          </cell>
          <cell r="C87">
            <v>75.167400000000015</v>
          </cell>
          <cell r="D87">
            <v>800</v>
          </cell>
          <cell r="E87">
            <v>18</v>
          </cell>
          <cell r="F87" t="str">
            <v>90% AFUE New Gas Furnace (Existing)</v>
          </cell>
          <cell r="G87" t="str">
            <v>90% AFUE Rating</v>
          </cell>
        </row>
        <row r="88">
          <cell r="A88" t="str">
            <v>R-H106</v>
          </cell>
          <cell r="B88" t="str">
            <v>AFUE 90+ Furnace, Zone 3</v>
          </cell>
          <cell r="C88">
            <v>98.611099999999993</v>
          </cell>
          <cell r="D88">
            <v>800</v>
          </cell>
          <cell r="E88">
            <v>18</v>
          </cell>
          <cell r="F88" t="str">
            <v>90% AFUE New Gas Furnace (Existing)</v>
          </cell>
          <cell r="G88" t="str">
            <v>90% AFUE Rating</v>
          </cell>
        </row>
        <row r="89">
          <cell r="A89" t="str">
            <v>R-H107</v>
          </cell>
          <cell r="B89" t="str">
            <v>AFUE 85 DHW combo, Zone 1</v>
          </cell>
          <cell r="C89">
            <v>109.17087126137841</v>
          </cell>
          <cell r="D89">
            <v>2150</v>
          </cell>
          <cell r="E89">
            <v>18</v>
          </cell>
        </row>
        <row r="90">
          <cell r="A90" t="str">
            <v>R-H108</v>
          </cell>
          <cell r="B90" t="str">
            <v>AFUE 85 DHW combo, Zone 2</v>
          </cell>
          <cell r="C90">
            <v>101.45812743823147</v>
          </cell>
          <cell r="D90">
            <v>2150</v>
          </cell>
          <cell r="E90">
            <v>18</v>
          </cell>
        </row>
        <row r="91">
          <cell r="A91" t="str">
            <v>R-H109</v>
          </cell>
          <cell r="B91" t="str">
            <v>AFUE 85 DHW combo, Zone 3</v>
          </cell>
          <cell r="C91">
            <v>115.20416124837449</v>
          </cell>
          <cell r="D91">
            <v>2150</v>
          </cell>
          <cell r="E91">
            <v>18</v>
          </cell>
        </row>
        <row r="92">
          <cell r="A92" t="str">
            <v>R-H110</v>
          </cell>
          <cell r="B92" t="str">
            <v>Combo with Hot Water delivery, Zone 1</v>
          </cell>
          <cell r="C92">
            <v>297.25877763328992</v>
          </cell>
          <cell r="D92">
            <v>4000</v>
          </cell>
          <cell r="E92">
            <v>30</v>
          </cell>
        </row>
        <row r="93">
          <cell r="A93" t="str">
            <v>R-H111</v>
          </cell>
          <cell r="B93" t="str">
            <v>Combo with Hot Water delivery, Zone 2</v>
          </cell>
          <cell r="C93">
            <v>287.83198959687905</v>
          </cell>
          <cell r="D93">
            <v>4000</v>
          </cell>
          <cell r="E93">
            <v>30</v>
          </cell>
        </row>
        <row r="94">
          <cell r="A94" t="str">
            <v>R-H112</v>
          </cell>
          <cell r="B94" t="str">
            <v>Combo with Hot Water delivery, Zone 3</v>
          </cell>
          <cell r="C94">
            <v>326.50729999999999</v>
          </cell>
          <cell r="D94">
            <v>4000</v>
          </cell>
          <cell r="E94">
            <v>30</v>
          </cell>
        </row>
        <row r="95">
          <cell r="A95" t="str">
            <v>R-H113</v>
          </cell>
          <cell r="B95" t="str">
            <v>Duct Sealing and AFUE 90+, Zone 1</v>
          </cell>
          <cell r="C95">
            <v>172.73549999999997</v>
          </cell>
          <cell r="D95">
            <v>1250</v>
          </cell>
          <cell r="E95">
            <v>20</v>
          </cell>
          <cell r="F95" t="str">
            <v>90% Furnace &amp; PTCS Duct Sealing</v>
          </cell>
          <cell r="G95" t="str">
            <v>90% AFUE Rating</v>
          </cell>
        </row>
        <row r="96">
          <cell r="A96" t="str">
            <v>R-H114</v>
          </cell>
          <cell r="B96" t="str">
            <v>Duct Sealing and AFUE 90+, Zone 2</v>
          </cell>
          <cell r="C96">
            <v>160.37629999999999</v>
          </cell>
          <cell r="D96">
            <v>1250</v>
          </cell>
          <cell r="E96">
            <v>20</v>
          </cell>
          <cell r="F96" t="str">
            <v>90% Furnace &amp; PTCS Duct Sealing</v>
          </cell>
          <cell r="G96" t="str">
            <v>90% AFUE Rating</v>
          </cell>
        </row>
        <row r="97">
          <cell r="A97" t="str">
            <v>R-H115</v>
          </cell>
          <cell r="B97" t="str">
            <v>Duct Sealing and AFUE 90+, Zone 3</v>
          </cell>
          <cell r="C97">
            <v>210.43959999999998</v>
          </cell>
          <cell r="D97">
            <v>1250</v>
          </cell>
          <cell r="E97">
            <v>20</v>
          </cell>
          <cell r="F97" t="str">
            <v>90% Furnace &amp; PTCS Duct Sealing</v>
          </cell>
          <cell r="G97" t="str">
            <v>90% AFUE Rating</v>
          </cell>
        </row>
        <row r="98">
          <cell r="A98" t="str">
            <v>R-WG101</v>
          </cell>
          <cell r="B98" t="str">
            <v>Wx insulation 2 measures Zone 1</v>
          </cell>
          <cell r="C98">
            <v>228.30149999999998</v>
          </cell>
          <cell r="D98">
            <v>2400</v>
          </cell>
          <cell r="E98">
            <v>45</v>
          </cell>
        </row>
        <row r="99">
          <cell r="A99" t="str">
            <v>R-WG102</v>
          </cell>
          <cell r="B99" t="str">
            <v>Wx insulation 2 measures Zone 2</v>
          </cell>
          <cell r="C99">
            <v>221.84399999999997</v>
          </cell>
          <cell r="D99">
            <v>2400</v>
          </cell>
          <cell r="E99">
            <v>45</v>
          </cell>
        </row>
        <row r="100">
          <cell r="A100" t="str">
            <v>R-WG103</v>
          </cell>
          <cell r="B100" t="str">
            <v>Wx insulation 2 measures Zone 3</v>
          </cell>
          <cell r="C100">
            <v>258.29090000000002</v>
          </cell>
          <cell r="D100">
            <v>2400</v>
          </cell>
          <cell r="E100">
            <v>45</v>
          </cell>
        </row>
        <row r="101">
          <cell r="A101" t="str">
            <v>R-WG104</v>
          </cell>
          <cell r="B101" t="str">
            <v>Wx insulation 1 added measure Zone 1</v>
          </cell>
          <cell r="C101">
            <v>323.0514</v>
          </cell>
          <cell r="D101">
            <v>800</v>
          </cell>
          <cell r="E101">
            <v>45</v>
          </cell>
        </row>
        <row r="102">
          <cell r="A102" t="str">
            <v>R-WG105</v>
          </cell>
          <cell r="B102" t="str">
            <v>Wx insulation 1 added measure Zone 2</v>
          </cell>
          <cell r="C102">
            <v>313.69240000000002</v>
          </cell>
          <cell r="D102">
            <v>800</v>
          </cell>
          <cell r="E102">
            <v>45</v>
          </cell>
        </row>
        <row r="103">
          <cell r="A103" t="str">
            <v>R-WG106</v>
          </cell>
          <cell r="B103" t="str">
            <v>Wx insulation 1 added measure Zone 3</v>
          </cell>
          <cell r="C103">
            <v>367.34949999999998</v>
          </cell>
          <cell r="D103">
            <v>800</v>
          </cell>
          <cell r="E103">
            <v>45</v>
          </cell>
        </row>
        <row r="104">
          <cell r="A104" t="str">
            <v>R-WG107</v>
          </cell>
          <cell r="B104" t="str">
            <v>Window, replacement (U=.35) Zone 1</v>
          </cell>
          <cell r="C104">
            <v>474.95419999999996</v>
          </cell>
          <cell r="D104">
            <v>4500</v>
          </cell>
          <cell r="E104">
            <v>45</v>
          </cell>
        </row>
        <row r="105">
          <cell r="A105" t="str">
            <v>R-WG108</v>
          </cell>
          <cell r="B105" t="str">
            <v>Window, replacement (U=.35) Zone 2</v>
          </cell>
          <cell r="C105">
            <v>457.34780000000001</v>
          </cell>
          <cell r="D105">
            <v>4500</v>
          </cell>
          <cell r="E105">
            <v>45</v>
          </cell>
        </row>
        <row r="106">
          <cell r="A106" t="str">
            <v>R-WG109</v>
          </cell>
          <cell r="B106" t="str">
            <v>Window, replacement (U=.35) Zone 3</v>
          </cell>
          <cell r="C106">
            <v>543.73900000000003</v>
          </cell>
          <cell r="D106">
            <v>4500</v>
          </cell>
          <cell r="E106">
            <v>45</v>
          </cell>
        </row>
        <row r="107">
          <cell r="A107" t="str">
            <v>R-WG110</v>
          </cell>
          <cell r="B107" t="str">
            <v>Window upgrade (U=.4 to U=.35) Zone 1</v>
          </cell>
          <cell r="C107">
            <v>17.281599999999994</v>
          </cell>
          <cell r="D107">
            <v>350</v>
          </cell>
          <cell r="E107">
            <v>45</v>
          </cell>
        </row>
        <row r="108">
          <cell r="A108" t="str">
            <v>R-WG111</v>
          </cell>
          <cell r="B108" t="str">
            <v>Window upgrade (U=.4 to U=.35) Zone 2</v>
          </cell>
          <cell r="C108">
            <v>16.938599999999997</v>
          </cell>
          <cell r="D108">
            <v>350</v>
          </cell>
          <cell r="E108">
            <v>45</v>
          </cell>
        </row>
        <row r="109">
          <cell r="A109" t="str">
            <v>R-WG112</v>
          </cell>
          <cell r="B109" t="str">
            <v>Window upgrade (U=.4 to U=.35) Zone 3</v>
          </cell>
          <cell r="C109">
            <v>20.067599999999999</v>
          </cell>
          <cell r="D109">
            <v>350</v>
          </cell>
          <cell r="E109">
            <v>45</v>
          </cell>
        </row>
        <row r="110">
          <cell r="A110" t="str">
            <v>R-WG113</v>
          </cell>
          <cell r="B110" t="str">
            <v>HRV Zone 1</v>
          </cell>
          <cell r="C110">
            <v>65.181899999999999</v>
          </cell>
          <cell r="D110">
            <v>2000</v>
          </cell>
          <cell r="E110">
            <v>18</v>
          </cell>
        </row>
        <row r="111">
          <cell r="A111" t="str">
            <v>R-WG114</v>
          </cell>
          <cell r="B111" t="str">
            <v>HRV Zone 2</v>
          </cell>
          <cell r="C111">
            <v>63.179900000000011</v>
          </cell>
          <cell r="D111">
            <v>2000</v>
          </cell>
          <cell r="E111">
            <v>18</v>
          </cell>
        </row>
        <row r="112">
          <cell r="A112" t="str">
            <v>R-WG115</v>
          </cell>
          <cell r="B112" t="str">
            <v>HRV Zone 3</v>
          </cell>
          <cell r="C112">
            <v>73.857699999999994</v>
          </cell>
          <cell r="D112">
            <v>2000</v>
          </cell>
          <cell r="E112">
            <v>18</v>
          </cell>
        </row>
        <row r="113">
          <cell r="A113" t="str">
            <v>WALL</v>
          </cell>
          <cell r="B113" t="str">
            <v>WALL INSULATION ZONE 1</v>
          </cell>
          <cell r="C113">
            <v>119.46100000000001</v>
          </cell>
          <cell r="D113">
            <v>1184.5303867403316</v>
          </cell>
          <cell r="E113">
            <v>45</v>
          </cell>
          <cell r="F113" t="str">
            <v>Wall Insulation</v>
          </cell>
          <cell r="G113" t="str">
            <v>Equal to or Greater than R-11 to fill cavity</v>
          </cell>
        </row>
        <row r="114">
          <cell r="A114" t="str">
            <v>WALL</v>
          </cell>
          <cell r="B114" t="str">
            <v>WALL INSULATION ZONE 2</v>
          </cell>
          <cell r="C114">
            <v>115.89500000000001</v>
          </cell>
          <cell r="D114">
            <v>1188.5714285714289</v>
          </cell>
          <cell r="E114">
            <v>45</v>
          </cell>
          <cell r="F114" t="str">
            <v>Wall Insulation</v>
          </cell>
          <cell r="G114" t="str">
            <v>Equal to or Greater than R-11 to fill cavity</v>
          </cell>
        </row>
        <row r="115">
          <cell r="A115" t="str">
            <v>WALL</v>
          </cell>
          <cell r="B115" t="str">
            <v>WALL INSULATION ZONE3</v>
          </cell>
          <cell r="C115">
            <v>135.50800000000001</v>
          </cell>
          <cell r="D115">
            <v>1180.5825242718447</v>
          </cell>
          <cell r="E115">
            <v>45</v>
          </cell>
          <cell r="F115" t="str">
            <v>Wall Insulation</v>
          </cell>
          <cell r="G115" t="str">
            <v>Equal to or Greater than R-11 to fill cavity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outlinePr summaryBelow="0"/>
  </sheetPr>
  <dimension ref="A1:AO99"/>
  <sheetViews>
    <sheetView showGridLines="0" tabSelected="1" zoomScale="70" zoomScaleNormal="70" workbookViewId="0"/>
  </sheetViews>
  <sheetFormatPr defaultRowHeight="15" x14ac:dyDescent="0.25"/>
  <cols>
    <col min="1" max="1" width="20.5703125" customWidth="1"/>
    <col min="2" max="2" width="41.85546875" customWidth="1"/>
    <col min="3" max="3" width="13.42578125" hidden="1" customWidth="1"/>
    <col min="4" max="4" width="8.42578125" hidden="1" customWidth="1"/>
    <col min="5" max="5" width="53.42578125" customWidth="1"/>
    <col min="6" max="6" width="18" customWidth="1"/>
    <col min="7" max="7" width="45.85546875" customWidth="1"/>
    <col min="8" max="8" width="50.85546875" customWidth="1"/>
    <col min="9" max="9" width="28.140625" hidden="1" customWidth="1"/>
    <col min="10" max="10" width="26.42578125" hidden="1" customWidth="1"/>
    <col min="11" max="11" width="16.5703125" hidden="1" customWidth="1"/>
    <col min="12" max="12" width="24.28515625" bestFit="1" customWidth="1"/>
    <col min="13" max="13" width="30" bestFit="1" customWidth="1"/>
    <col min="14" max="15" width="20.140625" customWidth="1"/>
    <col min="16" max="16" width="16.140625" customWidth="1"/>
    <col min="17" max="17" width="20.140625" customWidth="1"/>
    <col min="18" max="18" width="27.7109375" bestFit="1" customWidth="1"/>
    <col min="19" max="20" width="20.5703125" customWidth="1"/>
    <col min="21" max="21" width="16.5703125" customWidth="1"/>
    <col min="22" max="22" width="24.42578125" bestFit="1" customWidth="1"/>
    <col min="23" max="23" width="21.42578125" customWidth="1"/>
    <col min="24" max="24" width="29.140625" customWidth="1"/>
    <col min="25" max="25" width="10.140625" customWidth="1"/>
    <col min="26" max="27" width="19.140625" customWidth="1"/>
    <col min="28" max="28" width="24.42578125" customWidth="1"/>
    <col min="29" max="29" width="27.42578125" bestFit="1" customWidth="1"/>
    <col min="30" max="30" width="31" bestFit="1" customWidth="1"/>
    <col min="31" max="31" width="14.42578125" customWidth="1"/>
    <col min="32" max="32" width="22.140625" customWidth="1"/>
    <col min="33" max="33" width="20.85546875" bestFit="1" customWidth="1"/>
    <col min="34" max="34" width="23.85546875" bestFit="1" customWidth="1"/>
    <col min="35" max="35" width="28.140625" bestFit="1" customWidth="1"/>
    <col min="36" max="36" width="24" bestFit="1" customWidth="1"/>
    <col min="37" max="37" width="26.28515625" bestFit="1" customWidth="1"/>
    <col min="38" max="38" width="38.5703125" bestFit="1" customWidth="1"/>
    <col min="39" max="39" width="28.28515625" bestFit="1" customWidth="1"/>
    <col min="40" max="40" width="28.140625" bestFit="1" customWidth="1"/>
    <col min="41" max="41" width="38.5703125" style="111" bestFit="1" customWidth="1"/>
  </cols>
  <sheetData>
    <row r="1" spans="1:41" ht="30" customHeight="1" thickBot="1" x14ac:dyDescent="0.35">
      <c r="B1" s="80"/>
      <c r="C1" s="80"/>
      <c r="E1" s="1" t="s">
        <v>0</v>
      </c>
      <c r="F1" s="137" t="s">
        <v>1</v>
      </c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</row>
    <row r="2" spans="1:41" ht="30" customHeight="1" thickBot="1" x14ac:dyDescent="0.3">
      <c r="A2" s="126"/>
      <c r="B2" s="79" t="s">
        <v>227</v>
      </c>
      <c r="C2" s="118"/>
      <c r="E2" s="1">
        <v>2022</v>
      </c>
      <c r="F2" s="138" t="s">
        <v>2</v>
      </c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</row>
    <row r="3" spans="1:41" ht="14.45" customHeight="1" thickBot="1" x14ac:dyDescent="0.3">
      <c r="B3" s="75" t="s">
        <v>226</v>
      </c>
      <c r="C3" s="75"/>
      <c r="E3" s="1"/>
      <c r="F3" s="72"/>
      <c r="G3" s="72"/>
      <c r="H3" s="72"/>
      <c r="I3" s="72"/>
      <c r="J3" s="72"/>
      <c r="K3" s="72"/>
      <c r="L3" s="127"/>
      <c r="M3" s="127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109"/>
    </row>
    <row r="4" spans="1:41" ht="14.45" customHeight="1" thickBot="1" x14ac:dyDescent="0.3">
      <c r="B4" s="75" t="s">
        <v>227</v>
      </c>
      <c r="C4" s="75"/>
      <c r="E4" s="1"/>
      <c r="F4" s="72"/>
      <c r="G4" s="72"/>
      <c r="H4" s="72"/>
      <c r="I4" s="72"/>
      <c r="J4" s="72"/>
      <c r="K4" s="72"/>
      <c r="L4" s="127"/>
      <c r="M4" s="127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109"/>
    </row>
    <row r="5" spans="1:41" ht="24.95" customHeight="1" thickBot="1" x14ac:dyDescent="0.3">
      <c r="B5" s="78"/>
      <c r="C5" s="78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9" t="s">
        <v>342</v>
      </c>
      <c r="AI5" s="140"/>
      <c r="AJ5" s="140"/>
      <c r="AK5" s="140"/>
      <c r="AL5" s="140"/>
      <c r="AM5" s="140"/>
      <c r="AN5" s="140"/>
      <c r="AO5" s="141"/>
    </row>
    <row r="6" spans="1:41" ht="24.95" customHeight="1" x14ac:dyDescent="0.25">
      <c r="B6" s="78"/>
      <c r="C6" s="78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6"/>
      <c r="AH6" s="142"/>
      <c r="AI6" s="143"/>
      <c r="AJ6" s="143"/>
      <c r="AK6" s="143"/>
      <c r="AL6" s="143"/>
      <c r="AM6" s="143"/>
      <c r="AN6" s="143"/>
      <c r="AO6" s="144"/>
    </row>
    <row r="7" spans="1:41" ht="33" customHeight="1" thickBot="1" x14ac:dyDescent="0.3">
      <c r="C7" t="s">
        <v>302</v>
      </c>
      <c r="D7" t="s">
        <v>192</v>
      </c>
      <c r="E7" s="2" t="s">
        <v>3</v>
      </c>
      <c r="F7" s="2" t="s">
        <v>4</v>
      </c>
      <c r="G7" s="2" t="s">
        <v>5</v>
      </c>
      <c r="H7" s="2" t="s">
        <v>201</v>
      </c>
      <c r="I7" s="2" t="s">
        <v>334</v>
      </c>
      <c r="J7" s="2" t="s">
        <v>335</v>
      </c>
      <c r="K7" s="2" t="s">
        <v>91</v>
      </c>
      <c r="L7" s="2" t="s">
        <v>337</v>
      </c>
      <c r="M7" s="134" t="s">
        <v>327</v>
      </c>
      <c r="N7" s="2" t="s">
        <v>6</v>
      </c>
      <c r="O7" s="74" t="s">
        <v>199</v>
      </c>
      <c r="P7" s="74" t="s">
        <v>193</v>
      </c>
      <c r="Q7" s="2" t="s">
        <v>198</v>
      </c>
      <c r="R7" s="2" t="s">
        <v>329</v>
      </c>
      <c r="S7" s="2" t="s">
        <v>7</v>
      </c>
      <c r="T7" s="74" t="s">
        <v>228</v>
      </c>
      <c r="U7" s="2" t="s">
        <v>229</v>
      </c>
      <c r="V7" s="2" t="s">
        <v>8</v>
      </c>
      <c r="W7" s="2" t="s">
        <v>9</v>
      </c>
      <c r="X7" s="2" t="s">
        <v>10</v>
      </c>
      <c r="Y7" s="2" t="s">
        <v>11</v>
      </c>
      <c r="Z7" s="74" t="s">
        <v>203</v>
      </c>
      <c r="AA7" s="2" t="s">
        <v>204</v>
      </c>
      <c r="AB7" s="2" t="s">
        <v>338</v>
      </c>
      <c r="AC7" s="2" t="s">
        <v>340</v>
      </c>
      <c r="AD7" s="2" t="s">
        <v>332</v>
      </c>
      <c r="AE7" s="2" t="s">
        <v>12</v>
      </c>
      <c r="AF7" s="74" t="s">
        <v>200</v>
      </c>
      <c r="AG7" s="74" t="s">
        <v>193</v>
      </c>
      <c r="AH7" s="2" t="s">
        <v>205</v>
      </c>
      <c r="AI7" s="2" t="s">
        <v>13</v>
      </c>
      <c r="AJ7" s="2" t="s">
        <v>14</v>
      </c>
      <c r="AK7" s="2" t="s">
        <v>15</v>
      </c>
      <c r="AL7" s="2" t="s">
        <v>16</v>
      </c>
      <c r="AM7" s="2" t="s">
        <v>17</v>
      </c>
      <c r="AN7" s="2" t="s">
        <v>18</v>
      </c>
      <c r="AO7" s="2" t="s">
        <v>19</v>
      </c>
    </row>
    <row r="8" spans="1:41" ht="20.100000000000001" customHeight="1" thickBot="1" x14ac:dyDescent="0.3">
      <c r="C8" s="119" t="s">
        <v>125</v>
      </c>
      <c r="D8" s="55" t="str">
        <f>E8&amp;"_"&amp;F8&amp;"_"&amp;G8</f>
        <v>0.87 UEF Tankless Water Heater_Zone 1_0.87+ UEF</v>
      </c>
      <c r="E8" s="3" t="s">
        <v>20</v>
      </c>
      <c r="F8" s="3" t="s">
        <v>21</v>
      </c>
      <c r="G8" s="3" t="s">
        <v>22</v>
      </c>
      <c r="H8" s="3" t="str">
        <f>G8</f>
        <v>0.87+ UEF</v>
      </c>
      <c r="I8" s="4">
        <v>81</v>
      </c>
      <c r="J8" s="4">
        <v>81</v>
      </c>
      <c r="K8" s="4"/>
      <c r="L8" s="4">
        <f>(R8/Q8)</f>
        <v>0</v>
      </c>
      <c r="M8" s="131">
        <v>0</v>
      </c>
      <c r="N8" s="70">
        <v>60</v>
      </c>
      <c r="O8" s="70">
        <f>IF(INDEX('Res Measure Mapping'!$R:$R,MATCH($D8,'Res Measure Mapping'!$B:$B,0))="N/A",N8,INDEX('Res Measure Mapping'!$R:$R,MATCH($D8,'Res Measure Mapping'!$B:$B,0)))</f>
        <v>61.739209068734127</v>
      </c>
      <c r="P8" s="70" t="str">
        <f>INDEX('Res Measure Mapping'!$S:$S,MATCH($D8,'Res Measure Mapping'!$B:$B,0))</f>
        <v>unit</v>
      </c>
      <c r="Q8" s="70">
        <f>N8</f>
        <v>60</v>
      </c>
      <c r="R8" s="135">
        <f>M8*$R$92</f>
        <v>0</v>
      </c>
      <c r="S8" s="5">
        <v>1171</v>
      </c>
      <c r="T8" s="76">
        <f>IF(INDEX('Res Measure Mapping'!$T:$T,MATCH($D8,'Res Measure Mapping'!$B:$B,0))="N/A",S8,INDEX('Res Measure Mapping'!$T:$T,MATCH($D8,'Res Measure Mapping'!$B:$B,0)))</f>
        <v>2447.4499999999998</v>
      </c>
      <c r="U8" s="5">
        <f>S8</f>
        <v>1171</v>
      </c>
      <c r="V8" s="5">
        <f>IF($B$2="Original",PV($F$96,$Y8,(-0.05*0.95*$N8)),PV($F$96,$AA8,(-0.05*0.95*$Q8)))</f>
        <v>29.548641014016606</v>
      </c>
      <c r="W8" s="5">
        <f>IF($B$2="Original",IF(ISNUMBER(S8),S8*L8,""),IF(ISNUMBER(U8),U8*L8,""))</f>
        <v>0</v>
      </c>
      <c r="X8" s="6">
        <f>W8-L8*(V8)</f>
        <v>0</v>
      </c>
      <c r="Y8" s="4">
        <v>18</v>
      </c>
      <c r="Z8" s="70">
        <f>IF(INDEX('Res Measure Mapping'!$U:$U,MATCH($D8,'Res Measure Mapping'!$B:$B,0))="N/A",Y8,INDEX('Res Measure Mapping'!$U:$U,MATCH($D8,'Res Measure Mapping'!$B:$B,0)))</f>
        <v>13</v>
      </c>
      <c r="AA8" s="4">
        <f>Z8</f>
        <v>13</v>
      </c>
      <c r="AB8" s="4">
        <f>IF($B$2="Original",PV($F$96,$Y8,-$R8),PV($F$96,$AA8,-$R8))</f>
        <v>0</v>
      </c>
      <c r="AC8" s="4">
        <f>IF($B$2="Original",PV($F$96,$Y8,-$R8),PV($F$96,$AA8,-$R8))</f>
        <v>0</v>
      </c>
      <c r="AD8" s="7">
        <f>(R8/$R$92)*$AD$92</f>
        <v>0</v>
      </c>
      <c r="AE8" s="5">
        <v>250</v>
      </c>
      <c r="AF8" s="76">
        <f>ROUND(IF(INDEX('Res Measure Mapping'!$V:$V,MATCH($D8,'Res Measure Mapping'!$B:$B,0))="N/A",AE8,INDEX('Res Measure Mapping'!$V:$V,MATCH($D8,'Res Measure Mapping'!$B:$B,0))),0)</f>
        <v>320</v>
      </c>
      <c r="AG8" s="70" t="str">
        <f>INDEX('Res Measure Mapping'!$S:$S,MATCH($D8,'Res Measure Mapping'!$B:$B,0))</f>
        <v>unit</v>
      </c>
      <c r="AH8" s="5">
        <f>AE8</f>
        <v>250</v>
      </c>
      <c r="AI8" s="5">
        <f>IF($B$2="Original",IF(ISNUMBER($AE8),$AE8*$L8,""),IF(ISNUMBER($AH8),$AH8*$L8,""))</f>
        <v>0</v>
      </c>
      <c r="AJ8" s="8">
        <f>IF(ISERROR($AI8/#REF!),0,$AI8/#REF!)</f>
        <v>0</v>
      </c>
      <c r="AK8" s="8">
        <f>IF(ISERROR(($AD8+$AI8)/$AC8),0,($AD8+$AI8)/$AC8)</f>
        <v>0</v>
      </c>
      <c r="AL8" s="81" t="str">
        <f>IF($B$2="Original",IF($AI8=0,"-",(VLOOKUP($Y8,'APP 2885'!$B$10:$G$54,6)*$R8)/($AI8+$AD8)),IF($AI8=0,"-",(VLOOKUP($AA8,'APP 2885'!$B$10:$G$54,6)*$R8)/($AI8+$AD8)))</f>
        <v>-</v>
      </c>
      <c r="AM8" s="9">
        <f>IF(ISERROR($RU8/$AB8),0,$X8/$AB8)</f>
        <v>0</v>
      </c>
      <c r="AN8" s="10">
        <f>IF(ISERROR($X8/$AB8),0,($X8+$AD8)/$AB8)</f>
        <v>0</v>
      </c>
      <c r="AO8" s="107" t="str">
        <f>IF($B$2="Original",IF($AI8=0,"-",(VLOOKUP($Y8,'APP 2885'!$B$10:$G$54,4)*$R8)/($X8+$AD8)),IF($AI8=0,"-",(VLOOKUP($AA8,'APP 2885'!$B$10:$G$54,4)*$R8)/($X8+$AD8)))</f>
        <v>-</v>
      </c>
    </row>
    <row r="9" spans="1:41" ht="20.100000000000001" customHeight="1" thickBot="1" x14ac:dyDescent="0.3">
      <c r="C9" s="119" t="s">
        <v>125</v>
      </c>
      <c r="D9" s="55" t="str">
        <f>E9&amp;"_"&amp;F9&amp;"_"&amp;G9</f>
        <v>0.87 UEF Tankless Water Heater_Zone 2_0.87+ UEF</v>
      </c>
      <c r="E9" s="11" t="s">
        <v>20</v>
      </c>
      <c r="F9" s="11" t="s">
        <v>23</v>
      </c>
      <c r="G9" s="11" t="s">
        <v>22</v>
      </c>
      <c r="H9" s="11" t="str">
        <f>G9</f>
        <v>0.87+ UEF</v>
      </c>
      <c r="I9" s="12">
        <v>74</v>
      </c>
      <c r="J9" s="12">
        <v>74</v>
      </c>
      <c r="K9" s="12"/>
      <c r="L9" s="12">
        <f>(R9/Q9)</f>
        <v>0</v>
      </c>
      <c r="M9" s="132">
        <v>0</v>
      </c>
      <c r="N9" s="71">
        <v>60</v>
      </c>
      <c r="O9" s="73">
        <f>IF(INDEX('Res Measure Mapping'!$R:$R,MATCH($D9,'Res Measure Mapping'!$B:$B,0))="N/A",N9,INDEX('Res Measure Mapping'!$R:$R,MATCH($D9,'Res Measure Mapping'!$B:$B,0)))</f>
        <v>61.397163589128986</v>
      </c>
      <c r="P9" s="73" t="str">
        <f>INDEX('Res Measure Mapping'!$S:$S,MATCH($D9,'Res Measure Mapping'!$B:$B,0))</f>
        <v>unit</v>
      </c>
      <c r="Q9" s="71">
        <f>N9</f>
        <v>60</v>
      </c>
      <c r="R9" s="136">
        <f>M9*$R$92</f>
        <v>0</v>
      </c>
      <c r="S9" s="13">
        <v>1171</v>
      </c>
      <c r="T9" s="77">
        <f>IF(INDEX('Res Measure Mapping'!$T:$T,MATCH($D9,'Res Measure Mapping'!$B:$B,0))="N/A",S9,INDEX('Res Measure Mapping'!$T:$T,MATCH($D9,'Res Measure Mapping'!$B:$B,0)))</f>
        <v>1882.25</v>
      </c>
      <c r="U9" s="13">
        <f>S9</f>
        <v>1171</v>
      </c>
      <c r="V9" s="13">
        <f>IF($B$2="Original",PV($F$96,$Y9,(-0.05*0.95*$N9)),PV($F$96,$AA9,(-0.05*0.95*$Q9)))</f>
        <v>29.548641014016606</v>
      </c>
      <c r="W9" s="13">
        <f>IF($B$2="Original",IF(ISNUMBER(S9),S9*L9,""),IF(ISNUMBER(U9),U9*L9,""))</f>
        <v>0</v>
      </c>
      <c r="X9" s="14">
        <f>W9-L9*(V9)</f>
        <v>0</v>
      </c>
      <c r="Y9" s="12">
        <v>18</v>
      </c>
      <c r="Z9" s="73">
        <f>IF(INDEX('Res Measure Mapping'!$U:$U,MATCH($D9,'Res Measure Mapping'!$B:$B,0))="N/A",Y9,INDEX('Res Measure Mapping'!$U:$U,MATCH($D9,'Res Measure Mapping'!$B:$B,0)))</f>
        <v>13</v>
      </c>
      <c r="AA9" s="12">
        <f>Z9</f>
        <v>13</v>
      </c>
      <c r="AB9" s="12">
        <f>IF($B$2="Original",PV($F$96,$Y9,-$R9),PV($F$96,$AA9,-$R9))</f>
        <v>0</v>
      </c>
      <c r="AC9" s="12">
        <f>IF($B$2="Original",PV($F$96,$Y9,-$R9),PV($F$96,$AA9,-$R9))</f>
        <v>0</v>
      </c>
      <c r="AD9" s="15">
        <f>(R9/$R$92)*$AD$92</f>
        <v>0</v>
      </c>
      <c r="AE9" s="13">
        <v>250</v>
      </c>
      <c r="AF9" s="77">
        <f>ROUND(IF(INDEX('Res Measure Mapping'!$V:$V,MATCH($D9,'Res Measure Mapping'!$B:$B,0))="N/A",AE9,INDEX('Res Measure Mapping'!$V:$V,MATCH($D9,'Res Measure Mapping'!$B:$B,0))),0)</f>
        <v>246</v>
      </c>
      <c r="AG9" s="73" t="str">
        <f>INDEX('Res Measure Mapping'!$S:$S,MATCH($D9,'Res Measure Mapping'!$B:$B,0))</f>
        <v>unit</v>
      </c>
      <c r="AH9" s="13">
        <f>AE9</f>
        <v>250</v>
      </c>
      <c r="AI9" s="5">
        <f>IF($B$2="Original",IF(ISNUMBER($AE9),$AE9*$L9,""),IF(ISNUMBER($AH9),$AH9*$L9,""))</f>
        <v>0</v>
      </c>
      <c r="AJ9" s="16">
        <f>IF(ISERROR(AI9/AC9),0,AI9/AC9)</f>
        <v>0</v>
      </c>
      <c r="AK9" s="16">
        <f>IF(ISERROR((AD9+AI9)/AC9),0,(AD9+AI9)/AC9)</f>
        <v>0</v>
      </c>
      <c r="AL9" s="82" t="str">
        <f>IF($B$2="Original",IF($AI9=0,"-",(VLOOKUP(Y9,'APP 2885'!$B$10:$G$54,6)*$R9)/($AI9+$AD9)),IF($AI9=0,"-",(VLOOKUP(AA9,'APP 2885'!$B$10:$G$54,6)*$R9)/($AI9+$AD9)))</f>
        <v>-</v>
      </c>
      <c r="AM9" s="17">
        <f>IF(ISERROR(RU9/AB9),0,X9/AB9)</f>
        <v>0</v>
      </c>
      <c r="AN9" s="18">
        <f>IF(ISERROR(X9/AB9),0,(X9+AD9)/AB9)</f>
        <v>0</v>
      </c>
      <c r="AO9" s="108" t="str">
        <f>IF($B$2="Original",IF($AI9=0,"-",(VLOOKUP(Y9,'APP 2885'!$B$10:$G$54,4)*$R9)/($X9+$AD9)),IF($AI9=0,"-",(VLOOKUP(AA9,'APP 2885'!$B$10:$G$54,4)*$R9)/($X9+$AD9)))</f>
        <v>-</v>
      </c>
    </row>
    <row r="10" spans="1:41" ht="20.100000000000001" customHeight="1" thickBot="1" x14ac:dyDescent="0.3">
      <c r="C10" s="119" t="s">
        <v>125</v>
      </c>
      <c r="D10" s="55" t="str">
        <f>E10&amp;"_"&amp;F10&amp;"_"&amp;G10</f>
        <v>0.87 UEF Tankless Water Heater_Zone 3_0.87+ UEF</v>
      </c>
      <c r="E10" s="3" t="s">
        <v>20</v>
      </c>
      <c r="F10" s="3" t="s">
        <v>24</v>
      </c>
      <c r="G10" s="3" t="s">
        <v>22</v>
      </c>
      <c r="H10" s="3" t="str">
        <f>G10</f>
        <v>0.87+ UEF</v>
      </c>
      <c r="I10" s="4">
        <v>2</v>
      </c>
      <c r="J10" s="4">
        <v>2</v>
      </c>
      <c r="K10" s="4"/>
      <c r="L10" s="4">
        <f>(R10/Q10)</f>
        <v>0</v>
      </c>
      <c r="M10" s="131">
        <v>0</v>
      </c>
      <c r="N10" s="70">
        <v>59</v>
      </c>
      <c r="O10" s="70">
        <f>IF(INDEX('Res Measure Mapping'!$R:$R,MATCH($D10,'Res Measure Mapping'!$B:$B,0))="N/A",N10,INDEX('Res Measure Mapping'!$R:$R,MATCH($D10,'Res Measure Mapping'!$B:$B,0)))</f>
        <v>60.884095369721237</v>
      </c>
      <c r="P10" s="70" t="str">
        <f>INDEX('Res Measure Mapping'!$S:$S,MATCH($D10,'Res Measure Mapping'!$B:$B,0))</f>
        <v>unit</v>
      </c>
      <c r="Q10" s="70">
        <f>N10</f>
        <v>59</v>
      </c>
      <c r="R10" s="135">
        <f>M10*$R$92</f>
        <v>0</v>
      </c>
      <c r="S10" s="5">
        <v>1171</v>
      </c>
      <c r="T10" s="76">
        <f>IF(INDEX('Res Measure Mapping'!$T:$T,MATCH($D10,'Res Measure Mapping'!$B:$B,0))="N/A",S10,INDEX('Res Measure Mapping'!$T:$T,MATCH($D10,'Res Measure Mapping'!$B:$B,0)))</f>
        <v>1882.25</v>
      </c>
      <c r="U10" s="5">
        <f>S10</f>
        <v>1171</v>
      </c>
      <c r="V10" s="5">
        <f>IF($B$2="Original",PV($F$96,$Y10,(-0.05*0.95*$N10)),PV($F$96,$AA10,(-0.05*0.95*$Q10)))</f>
        <v>29.056163663783003</v>
      </c>
      <c r="W10" s="5">
        <f>IF($B$2="Original",IF(ISNUMBER(S10),S10*L10,""),IF(ISNUMBER(U10),U10*L10,""))</f>
        <v>0</v>
      </c>
      <c r="X10" s="6">
        <f>W10-L10*(V10)</f>
        <v>0</v>
      </c>
      <c r="Y10" s="4">
        <v>18</v>
      </c>
      <c r="Z10" s="70">
        <f>IF(INDEX('Res Measure Mapping'!$U:$U,MATCH($D10,'Res Measure Mapping'!$B:$B,0))="N/A",Y10,INDEX('Res Measure Mapping'!$U:$U,MATCH($D10,'Res Measure Mapping'!$B:$B,0)))</f>
        <v>13</v>
      </c>
      <c r="AA10" s="4">
        <f>Z10</f>
        <v>13</v>
      </c>
      <c r="AB10" s="4">
        <f>IF($B$2="Original",PV($F$96,$Y10,-$R10),PV($F$96,$AA10,-$R10))</f>
        <v>0</v>
      </c>
      <c r="AC10" s="4">
        <f>IF($B$2="Original",PV($F$96,$Y10,-$R10),PV($F$96,$AA10,-$R10))</f>
        <v>0</v>
      </c>
      <c r="AD10" s="7">
        <f>(R10/$R$92)*$AD$92</f>
        <v>0</v>
      </c>
      <c r="AE10" s="5">
        <v>250</v>
      </c>
      <c r="AF10" s="76">
        <f>ROUND(IF(INDEX('Res Measure Mapping'!$V:$V,MATCH($D10,'Res Measure Mapping'!$B:$B,0))="N/A",AE10,INDEX('Res Measure Mapping'!$V:$V,MATCH($D10,'Res Measure Mapping'!$B:$B,0))),0)</f>
        <v>246</v>
      </c>
      <c r="AG10" s="70" t="str">
        <f>INDEX('Res Measure Mapping'!$S:$S,MATCH($D10,'Res Measure Mapping'!$B:$B,0))</f>
        <v>unit</v>
      </c>
      <c r="AH10" s="5">
        <f>AE10</f>
        <v>250</v>
      </c>
      <c r="AI10" s="5">
        <f>IF($B$2="Original",IF(ISNUMBER(AE10),AE10*L10,""),IF(ISNUMBER(AH10),AH10*L10,""))</f>
        <v>0</v>
      </c>
      <c r="AJ10" s="8">
        <f>IF(ISERROR(AI10/AC10),0,AI10/AC10)</f>
        <v>0</v>
      </c>
      <c r="AK10" s="8">
        <f>IF(ISERROR((AD10+AI10)/AC10),0,(AD10+AI10)/AC10)</f>
        <v>0</v>
      </c>
      <c r="AL10" s="81" t="str">
        <f>IF($B$2="Original",IF($AI10=0,"-",(VLOOKUP(Y10,'APP 2885'!$B$10:$G$54,6)*$R10)/($AI10+$AD10)),IF($AI10=0,"-",(VLOOKUP(AA10,'APP 2885'!$B$10:$G$54,6)*$R10)/($AI10+$AD10)))</f>
        <v>-</v>
      </c>
      <c r="AM10" s="9">
        <f>IF(ISERROR(RU10/AB10),0,X10/AB10)</f>
        <v>0</v>
      </c>
      <c r="AN10" s="10">
        <f>IF(ISERROR(X10/AB10),0,(X10+AD10)/AB10)</f>
        <v>0</v>
      </c>
      <c r="AO10" s="107" t="str">
        <f>IF($B$2="Original",IF($AI10=0,"-",(VLOOKUP(Y10,'APP 2885'!$B$10:$G$54,4)*$R10)/($X10+$AD10)),IF($AI10=0,"-",(VLOOKUP(AA10,'APP 2885'!$B$10:$G$54,4)*$R10)/($X10+$AD10)))</f>
        <v>-</v>
      </c>
    </row>
    <row r="11" spans="1:41" ht="20.100000000000001" customHeight="1" thickBot="1" x14ac:dyDescent="0.3">
      <c r="C11" s="119" t="s">
        <v>125</v>
      </c>
      <c r="D11" s="55" t="str">
        <f>E11&amp;"_"&amp;F11&amp;"_"&amp;G11</f>
        <v>0.93 UEF Tankless Water Heater_Zone 1_0.93+ UEF</v>
      </c>
      <c r="E11" s="11" t="s">
        <v>25</v>
      </c>
      <c r="F11" s="11" t="s">
        <v>21</v>
      </c>
      <c r="G11" s="11" t="s">
        <v>26</v>
      </c>
      <c r="H11" s="11" t="str">
        <f>G11</f>
        <v>0.93+ UEF</v>
      </c>
      <c r="I11" s="12">
        <v>268</v>
      </c>
      <c r="J11" s="12">
        <v>269</v>
      </c>
      <c r="K11" s="12"/>
      <c r="L11" s="12">
        <f>(R11/Q11)</f>
        <v>0</v>
      </c>
      <c r="M11" s="132">
        <v>0</v>
      </c>
      <c r="N11" s="71">
        <v>68</v>
      </c>
      <c r="O11" s="73">
        <f>IF(INDEX('Res Measure Mapping'!$R:$R,MATCH($D11,'Res Measure Mapping'!$B:$B,0))="N/A",N11,INDEX('Res Measure Mapping'!$R:$R,MATCH($D11,'Res Measure Mapping'!$B:$B,0)))</f>
        <v>65.997085556233031</v>
      </c>
      <c r="P11" s="73" t="str">
        <f>INDEX('Res Measure Mapping'!$S:$S,MATCH($D11,'Res Measure Mapping'!$B:$B,0))</f>
        <v>unit</v>
      </c>
      <c r="Q11" s="71">
        <f>N11</f>
        <v>68</v>
      </c>
      <c r="R11" s="136">
        <f>M11*$R$92</f>
        <v>0</v>
      </c>
      <c r="S11" s="13">
        <v>1171</v>
      </c>
      <c r="T11" s="77">
        <f>IF(INDEX('Res Measure Mapping'!$T:$T,MATCH($D11,'Res Measure Mapping'!$B:$B,0))="N/A",S11,INDEX('Res Measure Mapping'!$T:$T,MATCH($D11,'Res Measure Mapping'!$B:$B,0)))</f>
        <v>1171</v>
      </c>
      <c r="U11" s="13">
        <f>S11</f>
        <v>1171</v>
      </c>
      <c r="V11" s="13">
        <f>IF($B$2="Original",PV($F$96,$Y11,(-0.05*0.95*$N11)),PV($F$96,$AA11,(-0.05*0.95*$Q11)))</f>
        <v>33.488459815885491</v>
      </c>
      <c r="W11" s="13">
        <f>IF($B$2="Original",IF(ISNUMBER(S11),S11*L11,""),IF(ISNUMBER(U11),U11*L11,""))</f>
        <v>0</v>
      </c>
      <c r="X11" s="14">
        <f>W11-L11*(V11)</f>
        <v>0</v>
      </c>
      <c r="Y11" s="12">
        <v>18</v>
      </c>
      <c r="Z11" s="73">
        <f>IF(INDEX('Res Measure Mapping'!$U:$U,MATCH($D11,'Res Measure Mapping'!$B:$B,0))="N/A",Y11,INDEX('Res Measure Mapping'!$U:$U,MATCH($D11,'Res Measure Mapping'!$B:$B,0)))</f>
        <v>13</v>
      </c>
      <c r="AA11" s="12">
        <f>Z11</f>
        <v>13</v>
      </c>
      <c r="AB11" s="12">
        <f>IF($B$2="Original",PV($F$96,$Y11,-$R11),PV($F$96,$AA11,-$R11))</f>
        <v>0</v>
      </c>
      <c r="AC11" s="12">
        <f>IF($B$2="Original",PV($F$96,$Y11,-$R11),PV($F$96,$AA11,-$R11))</f>
        <v>0</v>
      </c>
      <c r="AD11" s="15">
        <f>(R11/$R$92)*$AD$92</f>
        <v>0</v>
      </c>
      <c r="AE11" s="13">
        <v>350</v>
      </c>
      <c r="AF11" s="77">
        <f>ROUND(IF(INDEX('Res Measure Mapping'!$V:$V,MATCH($D11,'Res Measure Mapping'!$B:$B,0))="N/A",AE11,INDEX('Res Measure Mapping'!$V:$V,MATCH($D11,'Res Measure Mapping'!$B:$B,0))),0)</f>
        <v>350</v>
      </c>
      <c r="AG11" s="73" t="str">
        <f>INDEX('Res Measure Mapping'!$S:$S,MATCH($D11,'Res Measure Mapping'!$B:$B,0))</f>
        <v>unit</v>
      </c>
      <c r="AH11" s="13">
        <f>AE11</f>
        <v>350</v>
      </c>
      <c r="AI11" s="13">
        <f>IF($B$2="Original",IF(ISNUMBER(AE11),AE11*L11,""),IF(ISNUMBER(AH11),AH11*L11,""))</f>
        <v>0</v>
      </c>
      <c r="AJ11" s="16">
        <f>IF(ISERROR(AI11/AC11),0,AI11/AC11)</f>
        <v>0</v>
      </c>
      <c r="AK11" s="16">
        <f>IF(ISERROR((AD11+AI11)/AC11),0,(AD11+AI11)/AC11)</f>
        <v>0</v>
      </c>
      <c r="AL11" s="82" t="str">
        <f>IF($B$2="Original",IF($AI11=0,"-",(VLOOKUP(Y11,'APP 2885'!$B$10:$G$54,6)*$R11)/($AI11+$AD11)),IF($AI11=0,"-",(VLOOKUP(AA11,'APP 2885'!$B$10:$G$54,6)*$R11)/($AI11+$AD11)))</f>
        <v>-</v>
      </c>
      <c r="AM11" s="17">
        <f>IF(ISERROR(RU11/AB11),0,X11/AB11)</f>
        <v>0</v>
      </c>
      <c r="AN11" s="18">
        <f>IF(ISERROR(X11/AB11),0,(X11+AD11)/AB11)</f>
        <v>0</v>
      </c>
      <c r="AO11" s="108" t="str">
        <f>IF($B$2="Original",IF($AI11=0,"-",(VLOOKUP(Y11,'APP 2885'!$B$10:$G$54,4)*$R11)/($X11+$AD11)),IF($AI11=0,"-",(VLOOKUP(AA11,'APP 2885'!$B$10:$G$54,4)*$R11)/($X11+$AD11)))</f>
        <v>-</v>
      </c>
    </row>
    <row r="12" spans="1:41" ht="20.100000000000001" customHeight="1" thickBot="1" x14ac:dyDescent="0.3">
      <c r="C12" s="119" t="s">
        <v>125</v>
      </c>
      <c r="D12" s="55" t="str">
        <f>E12&amp;"_"&amp;F12&amp;"_"&amp;G12</f>
        <v>0.93 UEF Tankless Water Heater_Zone 2_0.93+ UEF</v>
      </c>
      <c r="E12" s="3" t="s">
        <v>25</v>
      </c>
      <c r="F12" s="3" t="s">
        <v>23</v>
      </c>
      <c r="G12" s="3" t="s">
        <v>26</v>
      </c>
      <c r="H12" s="3" t="str">
        <f>G12</f>
        <v>0.93+ UEF</v>
      </c>
      <c r="I12" s="4">
        <v>134</v>
      </c>
      <c r="J12" s="4">
        <v>135</v>
      </c>
      <c r="K12" s="4"/>
      <c r="L12" s="4">
        <f>(R12/Q12)</f>
        <v>0</v>
      </c>
      <c r="M12" s="131">
        <v>0</v>
      </c>
      <c r="N12" s="70">
        <v>68</v>
      </c>
      <c r="O12" s="70">
        <f>IF(INDEX('Res Measure Mapping'!$R:$R,MATCH($D12,'Res Measure Mapping'!$B:$B,0))="N/A",N12,INDEX('Res Measure Mapping'!$R:$R,MATCH($D12,'Res Measure Mapping'!$B:$B,0)))</f>
        <v>65.631450733206847</v>
      </c>
      <c r="P12" s="70" t="str">
        <f>INDEX('Res Measure Mapping'!$S:$S,MATCH($D12,'Res Measure Mapping'!$B:$B,0))</f>
        <v>unit</v>
      </c>
      <c r="Q12" s="70">
        <f>N12</f>
        <v>68</v>
      </c>
      <c r="R12" s="135">
        <f>M12*$R$92</f>
        <v>0</v>
      </c>
      <c r="S12" s="5">
        <v>1171</v>
      </c>
      <c r="T12" s="76">
        <f>IF(INDEX('Res Measure Mapping'!$T:$T,MATCH($D12,'Res Measure Mapping'!$B:$B,0))="N/A",S12,INDEX('Res Measure Mapping'!$T:$T,MATCH($D12,'Res Measure Mapping'!$B:$B,0)))</f>
        <v>1171</v>
      </c>
      <c r="U12" s="5">
        <f>S12</f>
        <v>1171</v>
      </c>
      <c r="V12" s="5">
        <f>IF($B$2="Original",PV($F$96,$Y12,(-0.05*0.95*$N12)),PV($F$96,$AA12,(-0.05*0.95*$Q12)))</f>
        <v>33.488459815885491</v>
      </c>
      <c r="W12" s="5">
        <f>IF($B$2="Original",IF(ISNUMBER(S12),S12*L12,""),IF(ISNUMBER(U12),U12*L12,""))</f>
        <v>0</v>
      </c>
      <c r="X12" s="6">
        <f>W12-L12*(V12)</f>
        <v>0</v>
      </c>
      <c r="Y12" s="4">
        <v>18</v>
      </c>
      <c r="Z12" s="70">
        <f>IF(INDEX('Res Measure Mapping'!$U:$U,MATCH($D12,'Res Measure Mapping'!$B:$B,0))="N/A",Y12,INDEX('Res Measure Mapping'!$U:$U,MATCH($D12,'Res Measure Mapping'!$B:$B,0)))</f>
        <v>13</v>
      </c>
      <c r="AA12" s="4">
        <f>Z12</f>
        <v>13</v>
      </c>
      <c r="AB12" s="4">
        <f>IF($B$2="Original",PV($F$96,$Y12,-$R12),PV($F$96,$AA12,-$R12))</f>
        <v>0</v>
      </c>
      <c r="AC12" s="4">
        <f>IF($B$2="Original",PV($F$96,$Y12,-$R12),PV($F$96,$AA12,-$R12))</f>
        <v>0</v>
      </c>
      <c r="AD12" s="7">
        <f>(R12/$R$92)*$AD$92</f>
        <v>0</v>
      </c>
      <c r="AE12" s="5">
        <v>350</v>
      </c>
      <c r="AF12" s="76">
        <f>ROUND(IF(INDEX('Res Measure Mapping'!$V:$V,MATCH($D12,'Res Measure Mapping'!$B:$B,0))="N/A",AE12,INDEX('Res Measure Mapping'!$V:$V,MATCH($D12,'Res Measure Mapping'!$B:$B,0))),0)</f>
        <v>350</v>
      </c>
      <c r="AG12" s="70" t="str">
        <f>INDEX('Res Measure Mapping'!$S:$S,MATCH($D12,'Res Measure Mapping'!$B:$B,0))</f>
        <v>unit</v>
      </c>
      <c r="AH12" s="5">
        <f>AE12</f>
        <v>350</v>
      </c>
      <c r="AI12" s="5">
        <f>IF($B$2="Original",IF(ISNUMBER(AE12),AE12*L12,""),IF(ISNUMBER(AH12),AH12*L12,""))</f>
        <v>0</v>
      </c>
      <c r="AJ12" s="8">
        <f>IF(ISERROR(AI12/AC12),0,AI12/AC12)</f>
        <v>0</v>
      </c>
      <c r="AK12" s="8">
        <f>IF(ISERROR((AD12+AI12)/AC12),0,(AD12+AI12)/AC12)</f>
        <v>0</v>
      </c>
      <c r="AL12" s="81" t="str">
        <f>IF($B$2="Original",IF($AI12=0,"-",(VLOOKUP(Y12,'APP 2885'!$B$10:$G$54,6)*$R12)/($AI12+$AD12)),IF($AI12=0,"-",(VLOOKUP(AA12,'APP 2885'!$B$10:$G$54,6)*$R12)/($AI12+$AD12)))</f>
        <v>-</v>
      </c>
      <c r="AM12" s="9">
        <f>IF(ISERROR(RU12/AB12),0,X12/AB12)</f>
        <v>0</v>
      </c>
      <c r="AN12" s="10">
        <f>IF(ISERROR(X12/AB12),0,(X12+AD12)/AB12)</f>
        <v>0</v>
      </c>
      <c r="AO12" s="107" t="str">
        <f>IF($B$2="Original",IF($AI12=0,"-",(VLOOKUP(Y12,'APP 2885'!$B$10:$G$54,4)*$R12)/($X12+$AD12)),IF($AI12=0,"-",(VLOOKUP(AA12,'APP 2885'!$B$10:$G$54,4)*$R12)/($X12+$AD12)))</f>
        <v>-</v>
      </c>
    </row>
    <row r="13" spans="1:41" ht="20.100000000000001" customHeight="1" thickBot="1" x14ac:dyDescent="0.3">
      <c r="C13" s="119" t="s">
        <v>125</v>
      </c>
      <c r="D13" s="55" t="str">
        <f>E13&amp;"_"&amp;F13&amp;"_"&amp;G13</f>
        <v>0.93 UEF Tankless Water Heater_Zone 3_0.93+ UEF</v>
      </c>
      <c r="E13" s="11" t="s">
        <v>25</v>
      </c>
      <c r="F13" s="11" t="s">
        <v>24</v>
      </c>
      <c r="G13" s="11" t="s">
        <v>26</v>
      </c>
      <c r="H13" s="11" t="str">
        <f>G13</f>
        <v>0.93+ UEF</v>
      </c>
      <c r="I13" s="12">
        <v>247</v>
      </c>
      <c r="J13" s="12">
        <v>247</v>
      </c>
      <c r="K13" s="12"/>
      <c r="L13" s="12">
        <f>(R13/Q13)</f>
        <v>0</v>
      </c>
      <c r="M13" s="132">
        <v>0</v>
      </c>
      <c r="N13" s="71">
        <v>67</v>
      </c>
      <c r="O13" s="73">
        <f>IF(INDEX('Res Measure Mapping'!$R:$R,MATCH($D13,'Res Measure Mapping'!$B:$B,0))="N/A",N13,INDEX('Res Measure Mapping'!$R:$R,MATCH($D13,'Res Measure Mapping'!$B:$B,0)))</f>
        <v>65.082998498667536</v>
      </c>
      <c r="P13" s="73" t="str">
        <f>INDEX('Res Measure Mapping'!$S:$S,MATCH($D13,'Res Measure Mapping'!$B:$B,0))</f>
        <v>unit</v>
      </c>
      <c r="Q13" s="71">
        <f>N13</f>
        <v>67</v>
      </c>
      <c r="R13" s="136">
        <f>M13*$R$92</f>
        <v>0</v>
      </c>
      <c r="S13" s="13">
        <v>1171</v>
      </c>
      <c r="T13" s="77">
        <f>IF(INDEX('Res Measure Mapping'!$T:$T,MATCH($D13,'Res Measure Mapping'!$B:$B,0))="N/A",S13,INDEX('Res Measure Mapping'!$T:$T,MATCH($D13,'Res Measure Mapping'!$B:$B,0)))</f>
        <v>1171</v>
      </c>
      <c r="U13" s="13">
        <f>S13</f>
        <v>1171</v>
      </c>
      <c r="V13" s="13">
        <f>IF($B$2="Original",PV($F$96,$Y13,(-0.05*0.95*$N13)),PV($F$96,$AA13,(-0.05*0.95*$Q13)))</f>
        <v>32.995982465651878</v>
      </c>
      <c r="W13" s="13">
        <f>IF($B$2="Original",IF(ISNUMBER(S13),S13*L13,""),IF(ISNUMBER(U13),U13*L13,""))</f>
        <v>0</v>
      </c>
      <c r="X13" s="14">
        <f>W13-L13*(V13)</f>
        <v>0</v>
      </c>
      <c r="Y13" s="12">
        <v>18</v>
      </c>
      <c r="Z13" s="73">
        <f>IF(INDEX('Res Measure Mapping'!$U:$U,MATCH($D13,'Res Measure Mapping'!$B:$B,0))="N/A",Y13,INDEX('Res Measure Mapping'!$U:$U,MATCH($D13,'Res Measure Mapping'!$B:$B,0)))</f>
        <v>13</v>
      </c>
      <c r="AA13" s="12">
        <f>Z13</f>
        <v>13</v>
      </c>
      <c r="AB13" s="12">
        <f>IF($B$2="Original",PV($F$96,$Y13,-$R13),PV($F$96,$AA13,-$R13))</f>
        <v>0</v>
      </c>
      <c r="AC13" s="12">
        <f>IF($B$2="Original",PV($F$96,$Y13,-$R13),PV($F$96,$AA13,-$R13))</f>
        <v>0</v>
      </c>
      <c r="AD13" s="15">
        <f>(R13/$R$92)*$AD$92</f>
        <v>0</v>
      </c>
      <c r="AE13" s="13">
        <v>350</v>
      </c>
      <c r="AF13" s="77">
        <f>ROUND(IF(INDEX('Res Measure Mapping'!$V:$V,MATCH($D13,'Res Measure Mapping'!$B:$B,0))="N/A",AE13,INDEX('Res Measure Mapping'!$V:$V,MATCH($D13,'Res Measure Mapping'!$B:$B,0))),0)</f>
        <v>350</v>
      </c>
      <c r="AG13" s="73" t="str">
        <f>INDEX('Res Measure Mapping'!$S:$S,MATCH($D13,'Res Measure Mapping'!$B:$B,0))</f>
        <v>unit</v>
      </c>
      <c r="AH13" s="13">
        <f>AE13</f>
        <v>350</v>
      </c>
      <c r="AI13" s="13">
        <f>IF($B$2="Original",IF(ISNUMBER(AE13),AE13*L13,""),IF(ISNUMBER(AH13),AH13*L13,""))</f>
        <v>0</v>
      </c>
      <c r="AJ13" s="16">
        <f>IF(ISERROR(AI13/AC13),0,AI13/AC13)</f>
        <v>0</v>
      </c>
      <c r="AK13" s="16">
        <f>IF(ISERROR((AD13+AI13)/AC13),0,(AD13+AI13)/AC13)</f>
        <v>0</v>
      </c>
      <c r="AL13" s="82" t="str">
        <f>IF($B$2="Original",IF($AI13=0,"-",(VLOOKUP(Y13,'APP 2885'!$B$10:$G$54,6)*$R13)/($AI13+$AD13)),IF($AI13=0,"-",(VLOOKUP(AA13,'APP 2885'!$B$10:$G$54,6)*$R13)/($AI13+$AD13)))</f>
        <v>-</v>
      </c>
      <c r="AM13" s="17">
        <f>IF(ISERROR(RU13/AB13),0,X13/AB13)</f>
        <v>0</v>
      </c>
      <c r="AN13" s="18">
        <f>IF(ISERROR(X13/AB13),0,(X13+AD13)/AB13)</f>
        <v>0</v>
      </c>
      <c r="AO13" s="108" t="str">
        <f>IF($B$2="Original",IF($AI13=0,"-",(VLOOKUP(Y13,'APP 2885'!$B$10:$G$54,4)*$R13)/($X13+$AD13)),IF($AI13=0,"-",(VLOOKUP(AA13,'APP 2885'!$B$10:$G$54,4)*$R13)/($X13+$AD13)))</f>
        <v>-</v>
      </c>
    </row>
    <row r="14" spans="1:41" ht="20.100000000000001" customHeight="1" thickBot="1" x14ac:dyDescent="0.3">
      <c r="C14" s="119">
        <v>1</v>
      </c>
      <c r="D14" s="55" t="str">
        <f>E14&amp;"_"&amp;F14&amp;"_"&amp;G14</f>
        <v>Built Green Certified Home_Zone 3_Certified from one to five stars</v>
      </c>
      <c r="E14" s="3" t="s">
        <v>27</v>
      </c>
      <c r="F14" s="3" t="s">
        <v>24</v>
      </c>
      <c r="G14" s="3" t="s">
        <v>28</v>
      </c>
      <c r="H14" s="3" t="str">
        <f>G14</f>
        <v>Certified from one to five stars</v>
      </c>
      <c r="I14" s="4">
        <v>49</v>
      </c>
      <c r="J14" s="4">
        <v>49</v>
      </c>
      <c r="K14" s="4"/>
      <c r="L14" s="4">
        <f>(R14/Q14)</f>
        <v>22.133722952186279</v>
      </c>
      <c r="M14" s="131">
        <v>1.5009714587795855E-3</v>
      </c>
      <c r="N14" s="70">
        <v>229</v>
      </c>
      <c r="O14" s="70">
        <f>IF(INDEX('Res Measure Mapping'!$R:$R,MATCH($D14,'Res Measure Mapping'!$B:$B,0))="N/A",N14,INDEX('Res Measure Mapping'!$R:$R,MATCH($D14,'Res Measure Mapping'!$B:$B,0)))</f>
        <v>29.106556729243202</v>
      </c>
      <c r="P14" s="70" t="str">
        <f>INDEX('Res Measure Mapping'!$S:$S,MATCH($D14,'Res Measure Mapping'!$B:$B,0))</f>
        <v>household</v>
      </c>
      <c r="Q14" s="70">
        <f>O14</f>
        <v>29.106556729243202</v>
      </c>
      <c r="R14" s="135">
        <f>M14*$R$92</f>
        <v>644.23646273716224</v>
      </c>
      <c r="S14" s="5">
        <v>1142</v>
      </c>
      <c r="T14" s="76">
        <f>IF(INDEX('Res Measure Mapping'!$T:$T,MATCH($D14,'Res Measure Mapping'!$B:$B,0))="N/A",S14,INDEX('Res Measure Mapping'!$T:$T,MATCH($D14,'Res Measure Mapping'!$B:$B,0)))</f>
        <v>2154.5300000000002</v>
      </c>
      <c r="U14" s="5">
        <f>T14</f>
        <v>2154.5300000000002</v>
      </c>
      <c r="V14" s="5">
        <f>IF($B$2="Original",PV($F$96,$Y14,(-0.05*0.95*$N14)),PV($F$96,$AA14,(-0.05*0.95*$Q14)))</f>
        <v>25.74973594426622</v>
      </c>
      <c r="W14" s="5">
        <f>IF($B$2="Original",IF(ISNUMBER(S14),S14*L14,""),IF(ISNUMBER(U14),U14*L14,""))</f>
        <v>47687.770112173908</v>
      </c>
      <c r="X14" s="6">
        <f>W14-L14*(V14)</f>
        <v>47117.832590691571</v>
      </c>
      <c r="Y14" s="4">
        <v>30</v>
      </c>
      <c r="Z14" s="70">
        <f>IF(INDEX('Res Measure Mapping'!$U:$U,MATCH($D14,'Res Measure Mapping'!$B:$B,0))="N/A",Y14,INDEX('Res Measure Mapping'!$U:$U,MATCH($D14,'Res Measure Mapping'!$B:$B,0)))</f>
        <v>30</v>
      </c>
      <c r="AA14" s="4">
        <f>Z14</f>
        <v>30</v>
      </c>
      <c r="AB14" s="4">
        <f>IF($B$2="Original",PV($F$96,$Y14,-$R14),PV($F$96,$AA14,-$R14))</f>
        <v>11998.684662786131</v>
      </c>
      <c r="AC14" s="4">
        <f>IF($B$2="Original",PV($F$96,$Y14,-$R14),PV($F$96,$AA14,-$R14))</f>
        <v>11998.684662786131</v>
      </c>
      <c r="AD14" s="7">
        <f>(R14/$R$92)*$AD$92</f>
        <v>1940.328319336252</v>
      </c>
      <c r="AE14" s="5">
        <v>2000</v>
      </c>
      <c r="AF14" s="76">
        <f>ROUND(IF(INDEX('Res Measure Mapping'!$V:$V,MATCH($D14,'Res Measure Mapping'!$B:$B,0))="N/A",AE14,INDEX('Res Measure Mapping'!$V:$V,MATCH($D14,'Res Measure Mapping'!$B:$B,0))),0)</f>
        <v>200</v>
      </c>
      <c r="AG14" s="70" t="str">
        <f>INDEX('Res Measure Mapping'!$S:$S,MATCH($D14,'Res Measure Mapping'!$B:$B,0))</f>
        <v>household</v>
      </c>
      <c r="AH14" s="5">
        <v>600</v>
      </c>
      <c r="AI14" s="5">
        <f>IF($B$2="Original",IF(ISNUMBER(AE14),AE14*L14,""),IF(ISNUMBER(AH14),AH14*L14,""))</f>
        <v>13280.233771311767</v>
      </c>
      <c r="AJ14" s="8">
        <f>IF(ISERROR(AI14/AC14),0,AI14/AC14)</f>
        <v>1.1068074663634053</v>
      </c>
      <c r="AK14" s="8">
        <f>IF(ISERROR((AD14+AI14)/AC14),0,(AD14+AI14)/AC14)</f>
        <v>1.2685192184318774</v>
      </c>
      <c r="AL14" s="81">
        <f>IF($B$2="Original",IF($AI14=0,"-",(VLOOKUP(Y14,'APP 2885'!$B$10:$G$54,6)*$R14)/($AI14+$AD14)),IF($AI14=0,"-",(VLOOKUP(AA14,'APP 2885'!$B$10:$G$54,6)*$R14)/($AI14+$AD14)))</f>
        <v>1.4754046046379814</v>
      </c>
      <c r="AM14" s="9">
        <f>IF(ISERROR(RU14/AB14),0,X14/AB14)</f>
        <v>3.9269164841732467</v>
      </c>
      <c r="AN14" s="10">
        <f>IF(ISERROR(X14/AB14),0,(X14+AD14)/AB14)</f>
        <v>4.0886282362417194</v>
      </c>
      <c r="AO14" s="107">
        <f>IF($B$2="Original",IF($AI14=0,"-",(VLOOKUP(Y14,'APP 2885'!$B$10:$G$54,4)*$R14)/($X14+$AD14)),IF($AI14=0,"-",(VLOOKUP(AA14,'APP 2885'!$B$10:$G$54,4)*$R14)/($X14+$AD14)))</f>
        <v>0.41613848055141506</v>
      </c>
    </row>
    <row r="15" spans="1:41" ht="20.100000000000001" customHeight="1" thickBot="1" x14ac:dyDescent="0.3">
      <c r="C15" s="119">
        <v>1</v>
      </c>
      <c r="D15" s="55" t="str">
        <f>E15&amp;"_"&amp;F15&amp;"_"&amp;G15</f>
        <v>Built Green Certified Home_Zone 3_Certified from one to five stars</v>
      </c>
      <c r="E15" s="11" t="s">
        <v>27</v>
      </c>
      <c r="F15" s="11" t="s">
        <v>24</v>
      </c>
      <c r="G15" s="11" t="s">
        <v>28</v>
      </c>
      <c r="H15" s="11" t="str">
        <f>G15</f>
        <v>Certified from one to five stars</v>
      </c>
      <c r="I15" s="12">
        <v>3</v>
      </c>
      <c r="J15" s="12">
        <v>3</v>
      </c>
      <c r="K15" s="12"/>
      <c r="L15" s="12">
        <f>(R15/Q15)</f>
        <v>22.133722952186279</v>
      </c>
      <c r="M15" s="132">
        <v>1.5009714587795855E-3</v>
      </c>
      <c r="N15" s="71">
        <v>210</v>
      </c>
      <c r="O15" s="73">
        <f>IF(INDEX('Res Measure Mapping'!$R:$R,MATCH($D15,'Res Measure Mapping'!$B:$B,0))="N/A",N15,INDEX('Res Measure Mapping'!$R:$R,MATCH($D15,'Res Measure Mapping'!$B:$B,0)))</f>
        <v>29.106556729243202</v>
      </c>
      <c r="P15" s="73" t="str">
        <f>INDEX('Res Measure Mapping'!$S:$S,MATCH($D15,'Res Measure Mapping'!$B:$B,0))</f>
        <v>household</v>
      </c>
      <c r="Q15" s="71">
        <f>O15</f>
        <v>29.106556729243202</v>
      </c>
      <c r="R15" s="136">
        <f>M15*$R$92</f>
        <v>644.23646273716224</v>
      </c>
      <c r="S15" s="13">
        <v>1142</v>
      </c>
      <c r="T15" s="77">
        <f>IF(INDEX('Res Measure Mapping'!$T:$T,MATCH($D15,'Res Measure Mapping'!$B:$B,0))="N/A",S15,INDEX('Res Measure Mapping'!$T:$T,MATCH($D15,'Res Measure Mapping'!$B:$B,0)))</f>
        <v>2154.5300000000002</v>
      </c>
      <c r="U15" s="13">
        <f>T15</f>
        <v>2154.5300000000002</v>
      </c>
      <c r="V15" s="13">
        <f>IF($B$2="Original",PV($F$96,$Y15,(-0.05*0.95*$N15)),PV($F$96,$AA15,(-0.05*0.95*$Q15)))</f>
        <v>25.74973594426622</v>
      </c>
      <c r="W15" s="13">
        <f>IF($B$2="Original",IF(ISNUMBER(S15),S15*L15,""),IF(ISNUMBER(U15),U15*L15,""))</f>
        <v>47687.770112173908</v>
      </c>
      <c r="X15" s="14">
        <f>W15-L15*(V15)</f>
        <v>47117.832590691571</v>
      </c>
      <c r="Y15" s="12">
        <v>30</v>
      </c>
      <c r="Z15" s="73">
        <f>IF(INDEX('Res Measure Mapping'!$U:$U,MATCH($D15,'Res Measure Mapping'!$B:$B,0))="N/A",Y15,INDEX('Res Measure Mapping'!$U:$U,MATCH($D15,'Res Measure Mapping'!$B:$B,0)))</f>
        <v>30</v>
      </c>
      <c r="AA15" s="12">
        <f>Z15</f>
        <v>30</v>
      </c>
      <c r="AB15" s="12">
        <f>IF($B$2="Original",PV($F$96,$Y15,-$R15),PV($F$96,$AA15,-$R15))</f>
        <v>11998.684662786131</v>
      </c>
      <c r="AC15" s="12">
        <f>IF($B$2="Original",PV($F$96,$Y15,-$R15),PV($F$96,$AA15,-$R15))</f>
        <v>11998.684662786131</v>
      </c>
      <c r="AD15" s="15">
        <f>(R15/$R$92)*$AD$92</f>
        <v>1940.328319336252</v>
      </c>
      <c r="AE15" s="13">
        <v>2000</v>
      </c>
      <c r="AF15" s="77">
        <f>ROUND(IF(INDEX('Res Measure Mapping'!$V:$V,MATCH($D15,'Res Measure Mapping'!$B:$B,0))="N/A",AE15,INDEX('Res Measure Mapping'!$V:$V,MATCH($D15,'Res Measure Mapping'!$B:$B,0))),0)</f>
        <v>200</v>
      </c>
      <c r="AG15" s="73" t="str">
        <f>INDEX('Res Measure Mapping'!$S:$S,MATCH($D15,'Res Measure Mapping'!$B:$B,0))</f>
        <v>household</v>
      </c>
      <c r="AH15" s="13">
        <v>600</v>
      </c>
      <c r="AI15" s="13">
        <f>IF($B$2="Original",IF(ISNUMBER(AE15),AE15*L15,""),IF(ISNUMBER(AH15),AH15*L15,""))</f>
        <v>13280.233771311767</v>
      </c>
      <c r="AJ15" s="16">
        <f>IF(ISERROR(AI15/AC15),0,AI15/AC15)</f>
        <v>1.1068074663634053</v>
      </c>
      <c r="AK15" s="16">
        <f>IF(ISERROR((AD15+AI15)/AC15),0,(AD15+AI15)/AC15)</f>
        <v>1.2685192184318774</v>
      </c>
      <c r="AL15" s="82">
        <f>IF($B$2="Original",IF($AI15=0,"-",(VLOOKUP(Y15,'APP 2885'!$B$10:$G$54,6)*$R15)/($AI15+$AD15)),IF($AI15=0,"-",(VLOOKUP(AA15,'APP 2885'!$B$10:$G$54,6)*$R15)/($AI15+$AD15)))</f>
        <v>1.4754046046379814</v>
      </c>
      <c r="AM15" s="17">
        <f>IF(ISERROR(RU15/AB15),0,X15/AB15)</f>
        <v>3.9269164841732467</v>
      </c>
      <c r="AN15" s="18">
        <f>IF(ISERROR(X15/AB15),0,(X15+AD15)/AB15)</f>
        <v>4.0886282362417194</v>
      </c>
      <c r="AO15" s="108">
        <f>IF($B$2="Original",IF($AI15=0,"-",(VLOOKUP(Y15,'APP 2885'!$B$10:$G$54,4)*$R15)/($X15+$AD15)),IF($AI15=0,"-",(VLOOKUP(AA15,'APP 2885'!$B$10:$G$54,4)*$R15)/($X15+$AD15)))</f>
        <v>0.41613848055141506</v>
      </c>
    </row>
    <row r="16" spans="1:41" ht="20.100000000000001" customHeight="1" thickBot="1" x14ac:dyDescent="0.3">
      <c r="C16" s="119">
        <v>3</v>
      </c>
      <c r="D16" s="55" t="str">
        <f>E16&amp;"_"&amp;F16&amp;"_"&amp;G16</f>
        <v>Ceiling Tier I_Zone 1_Tier 1: Post R-38+</v>
      </c>
      <c r="E16" s="3" t="s">
        <v>31</v>
      </c>
      <c r="F16" s="3" t="s">
        <v>21</v>
      </c>
      <c r="G16" s="3" t="s">
        <v>32</v>
      </c>
      <c r="H16" s="3" t="str">
        <f>G16</f>
        <v>Tier 1: Post R-38+</v>
      </c>
      <c r="I16" s="4">
        <v>11</v>
      </c>
      <c r="J16" s="4">
        <v>11</v>
      </c>
      <c r="K16" s="4">
        <v>8345</v>
      </c>
      <c r="L16" s="4">
        <v>0</v>
      </c>
      <c r="M16" s="131">
        <v>0</v>
      </c>
      <c r="N16" s="70">
        <v>6.2E-2</v>
      </c>
      <c r="O16" s="70">
        <f>IF(INDEX('Res Measure Mapping'!$R:$R,MATCH($D16,'Res Measure Mapping'!$B:$B,0))="N/A",N16,INDEX('Res Measure Mapping'!$R:$R,MATCH($D16,'Res Measure Mapping'!$B:$B,0)))</f>
        <v>0.15715086997503622</v>
      </c>
      <c r="P16" s="70" t="str">
        <f>INDEX('Res Measure Mapping'!$S:$S,MATCH($D16,'Res Measure Mapping'!$B:$B,0))</f>
        <v>sqft roof</v>
      </c>
      <c r="Q16" s="70">
        <v>0</v>
      </c>
      <c r="R16" s="135">
        <f>M16*$R$92</f>
        <v>0</v>
      </c>
      <c r="S16" s="5">
        <v>0.67</v>
      </c>
      <c r="T16" s="76">
        <f>IF(INDEX('Res Measure Mapping'!$T:$T,MATCH($D16,'Res Measure Mapping'!$B:$B,0))="N/A",S16,INDEX('Res Measure Mapping'!$T:$T,MATCH($D16,'Res Measure Mapping'!$B:$B,0)))</f>
        <v>1.37</v>
      </c>
      <c r="U16" s="5">
        <f>T16</f>
        <v>1.37</v>
      </c>
      <c r="V16" s="5">
        <f>IF($B$2="Original",PV($F$96,$Y16,(-0.05*0.95*$N16)),PV($F$96,$AA16,(-0.05*0.95*$Q16)))</f>
        <v>0</v>
      </c>
      <c r="W16" s="5">
        <f>IF($B$2="Original",IF(ISNUMBER(S16),S16*L16,""),IF(ISNUMBER(U16),U16*L16,""))</f>
        <v>0</v>
      </c>
      <c r="X16" s="6">
        <f>W16-L16*(V16)</f>
        <v>0</v>
      </c>
      <c r="Y16" s="4">
        <v>45</v>
      </c>
      <c r="Z16" s="70">
        <f>IF(INDEX('Res Measure Mapping'!$U:$U,MATCH($D16,'Res Measure Mapping'!$B:$B,0))="N/A",Y16,INDEX('Res Measure Mapping'!$U:$U,MATCH($D16,'Res Measure Mapping'!$B:$B,0)))</f>
        <v>45</v>
      </c>
      <c r="AA16" s="4">
        <f>Z16</f>
        <v>45</v>
      </c>
      <c r="AB16" s="4">
        <f>IF($B$2="Original",PV($F$96,$Y16,-$R16),PV($F$96,$AA16,-$R16))</f>
        <v>0</v>
      </c>
      <c r="AC16" s="4">
        <f>IF($B$2="Original",PV($F$96,$Y16,-$R16),PV($F$96,$AA16,-$R16))</f>
        <v>0</v>
      </c>
      <c r="AD16" s="7">
        <f>(R16/$R$92)*$AD$92</f>
        <v>0</v>
      </c>
      <c r="AE16" s="5">
        <v>0.75</v>
      </c>
      <c r="AF16" s="76">
        <f>ROUND(IF(INDEX('Res Measure Mapping'!$V:$V,MATCH($D16,'Res Measure Mapping'!$B:$B,0))="N/A",AE16,INDEX('Res Measure Mapping'!$V:$V,MATCH($D16,'Res Measure Mapping'!$B:$B,0))),0)</f>
        <v>1</v>
      </c>
      <c r="AG16" s="70" t="str">
        <f>INDEX('Res Measure Mapping'!$S:$S,MATCH($D16,'Res Measure Mapping'!$B:$B,0))</f>
        <v>sqft roof</v>
      </c>
      <c r="AH16" s="5">
        <v>0</v>
      </c>
      <c r="AI16" s="5">
        <f>IF($B$2="Original",IF(ISNUMBER(AE16),AE16*L16,""),IF(ISNUMBER(AH16),AH16*L16,""))</f>
        <v>0</v>
      </c>
      <c r="AJ16" s="8">
        <f>IF(ISERROR(AI16/AC16),0,AI16/AC16)</f>
        <v>0</v>
      </c>
      <c r="AK16" s="8">
        <f>IF(ISERROR((AD16+AI16)/AC16),0,(AD16+AI16)/AC16)</f>
        <v>0</v>
      </c>
      <c r="AL16" s="81" t="str">
        <f>IF($B$2="Original",IF($AI16=0,"-",(VLOOKUP(Y16,'APP 2885'!$B$10:$G$54,6)*$R16)/($AI16+$AD16)),IF($AI16=0,"-",(VLOOKUP(AA16,'APP 2885'!$B$10:$G$54,6)*$R16)/($AI16+$AD16)))</f>
        <v>-</v>
      </c>
      <c r="AM16" s="9">
        <f>IF(ISERROR(RU16/AB16),0,X16/AB16)</f>
        <v>0</v>
      </c>
      <c r="AN16" s="10">
        <f>IF(ISERROR(X16/AB16),0,(X16+AD16)/AB16)</f>
        <v>0</v>
      </c>
      <c r="AO16" s="107" t="str">
        <f>IF($B$2="Original",IF($AI16=0,"-",(VLOOKUP(Y16,'APP 2885'!$B$10:$G$54,4)*$R16)/($X16+$AD16)),IF($AI16=0,"-",(VLOOKUP(AA16,'APP 2885'!$B$10:$G$54,4)*$R16)/($X16+$AD16)))</f>
        <v>-</v>
      </c>
    </row>
    <row r="17" spans="3:41" ht="20.100000000000001" customHeight="1" thickBot="1" x14ac:dyDescent="0.3">
      <c r="C17" s="119">
        <v>3</v>
      </c>
      <c r="D17" s="55" t="str">
        <f>E17&amp;"_"&amp;F17&amp;"_"&amp;G17</f>
        <v>Ceiling Tier I_Zone 2_Tier 1: Post R-38+</v>
      </c>
      <c r="E17" s="11" t="s">
        <v>31</v>
      </c>
      <c r="F17" s="11" t="s">
        <v>23</v>
      </c>
      <c r="G17" s="11" t="s">
        <v>32</v>
      </c>
      <c r="H17" s="11" t="str">
        <f>G17</f>
        <v>Tier 1: Post R-38+</v>
      </c>
      <c r="I17" s="12">
        <v>2</v>
      </c>
      <c r="J17" s="12">
        <v>2</v>
      </c>
      <c r="K17" s="12">
        <v>2239</v>
      </c>
      <c r="L17" s="12">
        <v>0</v>
      </c>
      <c r="M17" s="132">
        <v>0</v>
      </c>
      <c r="N17" s="71">
        <v>5.7000000000000002E-2</v>
      </c>
      <c r="O17" s="73">
        <f>IF(INDEX('Res Measure Mapping'!$R:$R,MATCH($D17,'Res Measure Mapping'!$B:$B,0))="N/A",N17,INDEX('Res Measure Mapping'!$R:$R,MATCH($D17,'Res Measure Mapping'!$B:$B,0)))</f>
        <v>0.17763100522443787</v>
      </c>
      <c r="P17" s="73" t="str">
        <f>INDEX('Res Measure Mapping'!$S:$S,MATCH($D17,'Res Measure Mapping'!$B:$B,0))</f>
        <v>sqft roof</v>
      </c>
      <c r="Q17" s="71">
        <v>0</v>
      </c>
      <c r="R17" s="136">
        <f>M17*$R$92</f>
        <v>0</v>
      </c>
      <c r="S17" s="13">
        <v>0.67</v>
      </c>
      <c r="T17" s="77">
        <f>IF(INDEX('Res Measure Mapping'!$T:$T,MATCH($D17,'Res Measure Mapping'!$B:$B,0))="N/A",S17,INDEX('Res Measure Mapping'!$T:$T,MATCH($D17,'Res Measure Mapping'!$B:$B,0)))</f>
        <v>1.37</v>
      </c>
      <c r="U17" s="13">
        <f>T17</f>
        <v>1.37</v>
      </c>
      <c r="V17" s="13">
        <f>IF($B$2="Original",PV($F$96,$Y17,(-0.05*0.95*$N17)),PV($F$96,$AA17,(-0.05*0.95*$Q17)))</f>
        <v>0</v>
      </c>
      <c r="W17" s="13">
        <f>IF($B$2="Original",IF(ISNUMBER(S17),S17*L17,""),IF(ISNUMBER(U17),U17*L17,""))</f>
        <v>0</v>
      </c>
      <c r="X17" s="14">
        <f>W17-L17*(V17)</f>
        <v>0</v>
      </c>
      <c r="Y17" s="12">
        <v>45</v>
      </c>
      <c r="Z17" s="73">
        <f>IF(INDEX('Res Measure Mapping'!$U:$U,MATCH($D17,'Res Measure Mapping'!$B:$B,0))="N/A",Y17,INDEX('Res Measure Mapping'!$U:$U,MATCH($D17,'Res Measure Mapping'!$B:$B,0)))</f>
        <v>45</v>
      </c>
      <c r="AA17" s="12">
        <f>Z17</f>
        <v>45</v>
      </c>
      <c r="AB17" s="12">
        <f>IF($B$2="Original",PV($F$96,$Y17,-$R17),PV($F$96,$AA17,-$R17))</f>
        <v>0</v>
      </c>
      <c r="AC17" s="12">
        <f>IF($B$2="Original",PV($F$96,$Y17,-$R17),PV($F$96,$AA17,-$R17))</f>
        <v>0</v>
      </c>
      <c r="AD17" s="15">
        <f>(R17/$R$92)*$AD$92</f>
        <v>0</v>
      </c>
      <c r="AE17" s="13">
        <v>0.75</v>
      </c>
      <c r="AF17" s="77">
        <f>ROUND(IF(INDEX('Res Measure Mapping'!$V:$V,MATCH($D17,'Res Measure Mapping'!$B:$B,0))="N/A",AE17,INDEX('Res Measure Mapping'!$V:$V,MATCH($D17,'Res Measure Mapping'!$B:$B,0))),0)</f>
        <v>1</v>
      </c>
      <c r="AG17" s="73" t="str">
        <f>INDEX('Res Measure Mapping'!$S:$S,MATCH($D17,'Res Measure Mapping'!$B:$B,0))</f>
        <v>sqft roof</v>
      </c>
      <c r="AH17" s="13">
        <v>0</v>
      </c>
      <c r="AI17" s="13">
        <f>IF($B$2="Original",IF(ISNUMBER(AE17),AE17*L17,""),IF(ISNUMBER(AH17),AH17*L17,""))</f>
        <v>0</v>
      </c>
      <c r="AJ17" s="16">
        <f>IF(ISERROR(AI17/AC17),0,AI17/AC17)</f>
        <v>0</v>
      </c>
      <c r="AK17" s="16">
        <f>IF(ISERROR((AD17+AI17)/AC17),0,(AD17+AI17)/AC17)</f>
        <v>0</v>
      </c>
      <c r="AL17" s="82" t="str">
        <f>IF($B$2="Original",IF($AI17=0,"-",(VLOOKUP(Y17,'APP 2885'!$B$10:$G$54,6)*$R17)/($AI17+$AD17)),IF($AI17=0,"-",(VLOOKUP(AA17,'APP 2885'!$B$10:$G$54,6)*$R17)/($AI17+$AD17)))</f>
        <v>-</v>
      </c>
      <c r="AM17" s="17">
        <f>IF(ISERROR(RU17/AB17),0,X17/AB17)</f>
        <v>0</v>
      </c>
      <c r="AN17" s="18">
        <f>IF(ISERROR(X17/AB17),0,(X17+AD17)/AB17)</f>
        <v>0</v>
      </c>
      <c r="AO17" s="108" t="str">
        <f>IF($B$2="Original",IF($AI17=0,"-",(VLOOKUP(Y17,'APP 2885'!$B$10:$G$54,4)*$R17)/($X17+$AD17)),IF($AI17=0,"-",(VLOOKUP(AA17,'APP 2885'!$B$10:$G$54,4)*$R17)/($X17+$AD17)))</f>
        <v>-</v>
      </c>
    </row>
    <row r="18" spans="3:41" ht="20.100000000000001" customHeight="1" thickBot="1" x14ac:dyDescent="0.3">
      <c r="C18" s="119">
        <v>3</v>
      </c>
      <c r="D18" s="55" t="str">
        <f>E18&amp;"_"&amp;F18&amp;"_"&amp;G18</f>
        <v>Ceiling Tier I_Zone 3_Tier 1: Post R-38+</v>
      </c>
      <c r="E18" s="3" t="s">
        <v>31</v>
      </c>
      <c r="F18" s="3" t="s">
        <v>24</v>
      </c>
      <c r="G18" s="3" t="s">
        <v>32</v>
      </c>
      <c r="H18" s="3" t="str">
        <f>G18</f>
        <v>Tier 1: Post R-38+</v>
      </c>
      <c r="I18" s="4">
        <v>4</v>
      </c>
      <c r="J18" s="4">
        <v>5</v>
      </c>
      <c r="K18" s="4">
        <v>2547</v>
      </c>
      <c r="L18" s="4">
        <v>0</v>
      </c>
      <c r="M18" s="131">
        <v>0</v>
      </c>
      <c r="N18" s="70">
        <v>6.7000000000000004E-2</v>
      </c>
      <c r="O18" s="70">
        <f>IF(INDEX('Res Measure Mapping'!$R:$R,MATCH($D18,'Res Measure Mapping'!$B:$B,0))="N/A",N18,INDEX('Res Measure Mapping'!$R:$R,MATCH($D18,'Res Measure Mapping'!$B:$B,0)))</f>
        <v>0.11968715837423201</v>
      </c>
      <c r="P18" s="70" t="str">
        <f>INDEX('Res Measure Mapping'!$S:$S,MATCH($D18,'Res Measure Mapping'!$B:$B,0))</f>
        <v>sqft roof</v>
      </c>
      <c r="Q18" s="70">
        <v>0</v>
      </c>
      <c r="R18" s="135">
        <f>M18*$R$92</f>
        <v>0</v>
      </c>
      <c r="S18" s="5">
        <v>0.67</v>
      </c>
      <c r="T18" s="76">
        <f>IF(INDEX('Res Measure Mapping'!$T:$T,MATCH($D18,'Res Measure Mapping'!$B:$B,0))="N/A",S18,INDEX('Res Measure Mapping'!$T:$T,MATCH($D18,'Res Measure Mapping'!$B:$B,0)))</f>
        <v>1.37</v>
      </c>
      <c r="U18" s="5">
        <f>T18</f>
        <v>1.37</v>
      </c>
      <c r="V18" s="5">
        <f>IF($B$2="Original",PV($F$96,$Y18,(-0.05*0.95*$N18)),PV($F$96,$AA18,(-0.05*0.95*$Q18)))</f>
        <v>0</v>
      </c>
      <c r="W18" s="5">
        <f>IF($B$2="Original",IF(ISNUMBER(S18),S18*L18,""),IF(ISNUMBER(U18),U18*L18,""))</f>
        <v>0</v>
      </c>
      <c r="X18" s="6">
        <f>W18-L18*(V18)</f>
        <v>0</v>
      </c>
      <c r="Y18" s="4">
        <v>45</v>
      </c>
      <c r="Z18" s="70">
        <f>IF(INDEX('Res Measure Mapping'!$U:$U,MATCH($D18,'Res Measure Mapping'!$B:$B,0))="N/A",Y18,INDEX('Res Measure Mapping'!$U:$U,MATCH($D18,'Res Measure Mapping'!$B:$B,0)))</f>
        <v>45</v>
      </c>
      <c r="AA18" s="4">
        <f>Z18</f>
        <v>45</v>
      </c>
      <c r="AB18" s="4">
        <f>IF($B$2="Original",PV($F$96,$Y18,-$R18),PV($F$96,$AA18,-$R18))</f>
        <v>0</v>
      </c>
      <c r="AC18" s="4">
        <f>IF($B$2="Original",PV($F$96,$Y18,-$R18),PV($F$96,$AA18,-$R18))</f>
        <v>0</v>
      </c>
      <c r="AD18" s="7">
        <f>(R18/$R$92)*$AD$92</f>
        <v>0</v>
      </c>
      <c r="AE18" s="5">
        <v>0.75</v>
      </c>
      <c r="AF18" s="76">
        <f>ROUND(IF(INDEX('Res Measure Mapping'!$V:$V,MATCH($D18,'Res Measure Mapping'!$B:$B,0))="N/A",AE18,INDEX('Res Measure Mapping'!$V:$V,MATCH($D18,'Res Measure Mapping'!$B:$B,0))),0)</f>
        <v>1</v>
      </c>
      <c r="AG18" s="70" t="str">
        <f>INDEX('Res Measure Mapping'!$S:$S,MATCH($D18,'Res Measure Mapping'!$B:$B,0))</f>
        <v>sqft roof</v>
      </c>
      <c r="AH18" s="5">
        <v>0</v>
      </c>
      <c r="AI18" s="5">
        <f>IF($B$2="Original",IF(ISNUMBER(AE18),AE18*L18,""),IF(ISNUMBER(AH18),AH18*L18,""))</f>
        <v>0</v>
      </c>
      <c r="AJ18" s="8">
        <f>IF(ISERROR(AI18/AC18),0,AI18/AC18)</f>
        <v>0</v>
      </c>
      <c r="AK18" s="8">
        <f>IF(ISERROR((AD18+AI18)/AC18),0,(AD18+AI18)/AC18)</f>
        <v>0</v>
      </c>
      <c r="AL18" s="81" t="str">
        <f>IF($B$2="Original",IF($AI18=0,"-",(VLOOKUP(Y18,'APP 2885'!$B$10:$G$54,6)*$R18)/($AI18+$AD18)),IF($AI18=0,"-",(VLOOKUP(AA18,'APP 2885'!$B$10:$G$54,6)*$R18)/($AI18+$AD18)))</f>
        <v>-</v>
      </c>
      <c r="AM18" s="9">
        <f>IF(ISERROR(RU18/AB18),0,X18/AB18)</f>
        <v>0</v>
      </c>
      <c r="AN18" s="10">
        <f>IF(ISERROR(X18/AB18),0,(X18+AD18)/AB18)</f>
        <v>0</v>
      </c>
      <c r="AO18" s="107" t="str">
        <f>IF($B$2="Original",IF($AI18=0,"-",(VLOOKUP(Y18,'APP 2885'!$B$10:$G$54,4)*$R18)/($X18+$AD18)),IF($AI18=0,"-",(VLOOKUP(AA18,'APP 2885'!$B$10:$G$54,4)*$R18)/($X18+$AD18)))</f>
        <v>-</v>
      </c>
    </row>
    <row r="19" spans="3:41" ht="20.100000000000001" customHeight="1" thickBot="1" x14ac:dyDescent="0.3">
      <c r="C19" s="119">
        <v>4</v>
      </c>
      <c r="D19" s="55" t="str">
        <f>E19&amp;"_"&amp;F19&amp;"_"&amp;G19</f>
        <v>Ceiling Tier II_Zone 1_Tier 2: Post R-49+</v>
      </c>
      <c r="E19" s="11" t="s">
        <v>33</v>
      </c>
      <c r="F19" s="11" t="s">
        <v>21</v>
      </c>
      <c r="G19" s="11" t="s">
        <v>34</v>
      </c>
      <c r="H19" s="11" t="str">
        <f>G19</f>
        <v>Tier 2: Post R-49+</v>
      </c>
      <c r="I19" s="12">
        <v>171</v>
      </c>
      <c r="J19" s="12">
        <v>171</v>
      </c>
      <c r="K19" s="12">
        <v>197667</v>
      </c>
      <c r="L19" s="12">
        <f>(R19/Q19)</f>
        <v>464050.39160398755</v>
      </c>
      <c r="M19" s="132">
        <v>4.3153764271301701E-2</v>
      </c>
      <c r="N19" s="71">
        <v>7.3999999999999996E-2</v>
      </c>
      <c r="O19" s="73">
        <f>IF(INDEX('Res Measure Mapping'!$R:$R,MATCH($D19,'Res Measure Mapping'!$B:$B,0))="N/A",N19,INDEX('Res Measure Mapping'!$R:$R,MATCH($D19,'Res Measure Mapping'!$B:$B,0)))</f>
        <v>3.9914106224878912E-2</v>
      </c>
      <c r="P19" s="73" t="str">
        <f>INDEX('Res Measure Mapping'!$S:$S,MATCH($D19,'Res Measure Mapping'!$B:$B,0))</f>
        <v>sqft roof</v>
      </c>
      <c r="Q19" s="71">
        <f>O19</f>
        <v>3.9914106224878912E-2</v>
      </c>
      <c r="R19" s="136">
        <f>M19*$R$92</f>
        <v>18522.156624178217</v>
      </c>
      <c r="S19" s="13">
        <v>0.67</v>
      </c>
      <c r="T19" s="77">
        <f>IF(INDEX('Res Measure Mapping'!$T:$T,MATCH($D19,'Res Measure Mapping'!$B:$B,0))="N/A",S19,INDEX('Res Measure Mapping'!$T:$T,MATCH($D19,'Res Measure Mapping'!$B:$B,0)))</f>
        <v>1.17</v>
      </c>
      <c r="U19" s="13">
        <f>T19</f>
        <v>1.17</v>
      </c>
      <c r="V19" s="13">
        <f>IF($B$2="Original",PV($F$96,$Y19,(-0.05*0.95*$N19)),PV($F$96,$AA19,(-0.05*0.95*$Q19)))</f>
        <v>4.337675978443864E-2</v>
      </c>
      <c r="W19" s="13">
        <f>IF($B$2="Original",IF(ISNUMBER(S19),S19*L19,""),IF(ISNUMBER(U19),U19*L19,""))</f>
        <v>542938.95817666536</v>
      </c>
      <c r="X19" s="14">
        <f>W19-L19*(V19)</f>
        <v>522809.95581218449</v>
      </c>
      <c r="Y19" s="12">
        <v>45</v>
      </c>
      <c r="Z19" s="73">
        <f>IF(INDEX('Res Measure Mapping'!$U:$U,MATCH($D19,'Res Measure Mapping'!$B:$B,0))="N/A",Y19,INDEX('Res Measure Mapping'!$U:$U,MATCH($D19,'Res Measure Mapping'!$B:$B,0)))</f>
        <v>45</v>
      </c>
      <c r="AA19" s="12">
        <f>Z19</f>
        <v>45</v>
      </c>
      <c r="AB19" s="12">
        <f>IF($B$2="Original",PV($F$96,$Y19,-$R19),PV($F$96,$AA19,-$R19))</f>
        <v>423768.4708311758</v>
      </c>
      <c r="AC19" s="12">
        <f>IF($B$2="Original",PV($F$96,$Y19,-$R19),PV($F$96,$AA19,-$R19))</f>
        <v>423768.4708311758</v>
      </c>
      <c r="AD19" s="15">
        <f>(R19/$R$92)*$AD$92</f>
        <v>55785.51837997578</v>
      </c>
      <c r="AE19" s="13">
        <v>1</v>
      </c>
      <c r="AF19" s="77">
        <v>1.25</v>
      </c>
      <c r="AG19" s="73" t="str">
        <f>INDEX('Res Measure Mapping'!$S:$S,MATCH($D19,'Res Measure Mapping'!$B:$B,0))</f>
        <v>sqft roof</v>
      </c>
      <c r="AH19" s="13">
        <f>AF19</f>
        <v>1.25</v>
      </c>
      <c r="AI19" s="13">
        <f>IF($B$2="Original",IF(ISNUMBER(AE19),AE19*L19,""),IF(ISNUMBER(AH19),AH19*L19,""))</f>
        <v>580062.98950498446</v>
      </c>
      <c r="AJ19" s="16">
        <f>IF(ISERROR(AI19/AC19),0,AI19/AC19)</f>
        <v>1.3688205457269012</v>
      </c>
      <c r="AK19" s="16">
        <f>IF(ISERROR((AD19+AI19)/AC19),0,(AD19+AI19)/AC19)</f>
        <v>1.5004620486224767</v>
      </c>
      <c r="AL19" s="82">
        <f>IF($B$2="Original",IF($AI19=0,"-",(VLOOKUP(Y19,'APP 2885'!$B$10:$G$54,6)*$R19)/($AI19+$AD19)),IF($AI19=0,"-",(VLOOKUP(AA19,'APP 2885'!$B$10:$G$54,6)*$R19)/($AI19+$AD19)))</f>
        <v>1.7846863281247038</v>
      </c>
      <c r="AM19" s="17">
        <f>IF(ISERROR(RU19/AB19),0,X19/AB19)</f>
        <v>1.2337160308003792</v>
      </c>
      <c r="AN19" s="18">
        <f>IF(ISERROR(X19/AB19),0,(X19+AD19)/AB19)</f>
        <v>1.3653575336959547</v>
      </c>
      <c r="AO19" s="108">
        <f>IF($B$2="Original",IF($AI19=0,"-",(VLOOKUP(Y19,'APP 2885'!$B$10:$G$54,4)*$R19)/($X19+$AD19)),IF($AI19=0,"-",(VLOOKUP(AA19,'APP 2885'!$B$10:$G$54,4)*$R19)/($X19+$AD19)))</f>
        <v>1.7829856003142541</v>
      </c>
    </row>
    <row r="20" spans="3:41" ht="20.100000000000001" customHeight="1" thickBot="1" x14ac:dyDescent="0.3">
      <c r="C20" s="119">
        <v>4</v>
      </c>
      <c r="D20" s="55" t="str">
        <f>E20&amp;"_"&amp;F20&amp;"_"&amp;G20</f>
        <v>Ceiling Tier II_Zone 2_Tier 2: Post R-49+</v>
      </c>
      <c r="E20" s="3" t="s">
        <v>33</v>
      </c>
      <c r="F20" s="3" t="s">
        <v>23</v>
      </c>
      <c r="G20" s="3" t="s">
        <v>34</v>
      </c>
      <c r="H20" s="3" t="str">
        <f>G20</f>
        <v>Tier 2: Post R-49+</v>
      </c>
      <c r="I20" s="4">
        <v>38</v>
      </c>
      <c r="J20" s="4">
        <v>38</v>
      </c>
      <c r="K20" s="4">
        <v>40798</v>
      </c>
      <c r="L20" s="4">
        <f>(R20/Q20)</f>
        <v>207933.10137851335</v>
      </c>
      <c r="M20" s="131">
        <v>2.2481142913315065E-2</v>
      </c>
      <c r="N20" s="70">
        <v>6.8000000000000005E-2</v>
      </c>
      <c r="O20" s="70">
        <f>IF(INDEX('Res Measure Mapping'!$R:$R,MATCH($D20,'Res Measure Mapping'!$B:$B,0))="N/A",N20,INDEX('Res Measure Mapping'!$R:$R,MATCH($D20,'Res Measure Mapping'!$B:$B,0)))</f>
        <v>4.640530405828782E-2</v>
      </c>
      <c r="P20" s="70" t="str">
        <f>INDEX('Res Measure Mapping'!$S:$S,MATCH($D20,'Res Measure Mapping'!$B:$B,0))</f>
        <v>sqft roof</v>
      </c>
      <c r="Q20" s="70">
        <f>O20</f>
        <v>4.640530405828782E-2</v>
      </c>
      <c r="R20" s="135">
        <f>M20*$R$92</f>
        <v>9649.198793252699</v>
      </c>
      <c r="S20" s="5">
        <v>0.67</v>
      </c>
      <c r="T20" s="76">
        <f>IF(INDEX('Res Measure Mapping'!$T:$T,MATCH($D20,'Res Measure Mapping'!$B:$B,0))="N/A",S20,INDEX('Res Measure Mapping'!$T:$T,MATCH($D20,'Res Measure Mapping'!$B:$B,0)))</f>
        <v>1.17</v>
      </c>
      <c r="U20" s="5">
        <f>T20</f>
        <v>1.17</v>
      </c>
      <c r="V20" s="5">
        <f>IF($B$2="Original",PV($F$96,$Y20,(-0.05*0.95*$N20)),PV($F$96,$AA20,(-0.05*0.95*$Q20)))</f>
        <v>5.0431086080677812E-2</v>
      </c>
      <c r="W20" s="5">
        <f>IF($B$2="Original",IF(ISNUMBER(S20),S20*L20,""),IF(ISNUMBER(U20),U20*L20,""))</f>
        <v>243281.72861286061</v>
      </c>
      <c r="X20" s="6">
        <f>W20-L20*(V20)</f>
        <v>232795.4364782185</v>
      </c>
      <c r="Y20" s="4">
        <v>45</v>
      </c>
      <c r="Z20" s="70">
        <f>IF(INDEX('Res Measure Mapping'!$U:$U,MATCH($D20,'Res Measure Mapping'!$B:$B,0))="N/A",Y20,INDEX('Res Measure Mapping'!$U:$U,MATCH($D20,'Res Measure Mapping'!$B:$B,0)))</f>
        <v>45</v>
      </c>
      <c r="AA20" s="4">
        <f>Z20</f>
        <v>45</v>
      </c>
      <c r="AB20" s="4">
        <f>IF($B$2="Original",PV($F$96,$Y20,-$R20),PV($F$96,$AA20,-$R20))</f>
        <v>220764.04493983396</v>
      </c>
      <c r="AC20" s="4">
        <f>IF($B$2="Original",PV($F$96,$Y20,-$R20),PV($F$96,$AA20,-$R20))</f>
        <v>220764.04493983396</v>
      </c>
      <c r="AD20" s="7">
        <f>(R20/$R$92)*$AD$92</f>
        <v>29061.710661186084</v>
      </c>
      <c r="AE20" s="5">
        <v>1</v>
      </c>
      <c r="AF20" s="76">
        <v>1.25</v>
      </c>
      <c r="AG20" s="70" t="str">
        <f>INDEX('Res Measure Mapping'!$S:$S,MATCH($D20,'Res Measure Mapping'!$B:$B,0))</f>
        <v>sqft roof</v>
      </c>
      <c r="AH20" s="5">
        <f>AF20</f>
        <v>1.25</v>
      </c>
      <c r="AI20" s="5">
        <f>IF($B$2="Original",IF(ISNUMBER(AE20),AE20*L20,""),IF(ISNUMBER(AH20),AH20*L20,""))</f>
        <v>259916.3767231417</v>
      </c>
      <c r="AJ20" s="8">
        <f>IF(ISERROR(AI20/AC20),0,AI20/AC20)</f>
        <v>1.1773492227594315</v>
      </c>
      <c r="AK20" s="8">
        <f>IF(ISERROR((AD20+AI20)/AC20),0,(AD20+AI20)/AC20)</f>
        <v>1.3089907256550068</v>
      </c>
      <c r="AL20" s="81">
        <f>IF($B$2="Original",IF($AI20=0,"-",(VLOOKUP(Y20,'APP 2885'!$B$10:$G$54,6)*$R20)/($AI20+$AD20)),IF($AI20=0,"-",(VLOOKUP(AA20,'APP 2885'!$B$10:$G$54,6)*$R20)/($AI20+$AD20)))</f>
        <v>2.0457395545767105</v>
      </c>
      <c r="AM20" s="9">
        <f>IF(ISERROR(RU20/AB20),0,X20/AB20)</f>
        <v>1.0544988725028277</v>
      </c>
      <c r="AN20" s="10">
        <f>IF(ISERROR(X20/AB20),0,(X20+AD20)/AB20)</f>
        <v>1.186140375398403</v>
      </c>
      <c r="AO20" s="107">
        <f>IF($B$2="Original",IF($AI20=0,"-",(VLOOKUP(Y20,'APP 2885'!$B$10:$G$54,4)*$R20)/($X20+$AD20)),IF($AI20=0,"-",(VLOOKUP(AA20,'APP 2885'!$B$10:$G$54,4)*$R20)/($X20+$AD20)))</f>
        <v>2.0523817183466129</v>
      </c>
    </row>
    <row r="21" spans="3:41" ht="20.100000000000001" customHeight="1" thickBot="1" x14ac:dyDescent="0.3">
      <c r="C21" s="119">
        <v>4</v>
      </c>
      <c r="D21" s="55" t="str">
        <f>E21&amp;"_"&amp;F21&amp;"_"&amp;G21</f>
        <v>Ceiling Tier II_Zone 3_Tier 2: Post R-49+</v>
      </c>
      <c r="E21" s="11" t="s">
        <v>33</v>
      </c>
      <c r="F21" s="11" t="s">
        <v>24</v>
      </c>
      <c r="G21" s="11" t="s">
        <v>34</v>
      </c>
      <c r="H21" s="11" t="str">
        <f>G21</f>
        <v>Tier 2: Post R-49+</v>
      </c>
      <c r="I21" s="12">
        <v>77</v>
      </c>
      <c r="J21" s="12">
        <v>77</v>
      </c>
      <c r="K21" s="12">
        <v>100238</v>
      </c>
      <c r="L21" s="12">
        <f>(R21/Q21)</f>
        <v>392722.56815621344</v>
      </c>
      <c r="M21" s="132">
        <v>2.7851394240579398E-2</v>
      </c>
      <c r="N21" s="71">
        <v>0.08</v>
      </c>
      <c r="O21" s="73">
        <f>IF(INDEX('Res Measure Mapping'!$R:$R,MATCH($D21,'Res Measure Mapping'!$B:$B,0))="N/A",N21,INDEX('Res Measure Mapping'!$R:$R,MATCH($D21,'Res Measure Mapping'!$B:$B,0)))</f>
        <v>3.0439250110594066E-2</v>
      </c>
      <c r="P21" s="73" t="str">
        <f>INDEX('Res Measure Mapping'!$S:$S,MATCH($D21,'Res Measure Mapping'!$B:$B,0))</f>
        <v>sqft roof</v>
      </c>
      <c r="Q21" s="71">
        <f>O21</f>
        <v>3.0439250110594066E-2</v>
      </c>
      <c r="R21" s="136">
        <f>M21*$R$92</f>
        <v>11954.180476181806</v>
      </c>
      <c r="S21" s="13">
        <v>0.67</v>
      </c>
      <c r="T21" s="77">
        <f>IF(INDEX('Res Measure Mapping'!$T:$T,MATCH($D21,'Res Measure Mapping'!$B:$B,0))="N/A",S21,INDEX('Res Measure Mapping'!$T:$T,MATCH($D21,'Res Measure Mapping'!$B:$B,0)))</f>
        <v>1.17</v>
      </c>
      <c r="U21" s="13">
        <f>T21</f>
        <v>1.17</v>
      </c>
      <c r="V21" s="13">
        <f>IF($B$2="Original",PV($F$96,$Y21,(-0.05*0.95*$N21)),PV($F$96,$AA21,(-0.05*0.95*$Q21)))</f>
        <v>3.3079935014120231E-2</v>
      </c>
      <c r="W21" s="13">
        <f>IF($B$2="Original",IF(ISNUMBER(S21),S21*L21,""),IF(ISNUMBER(U21),U21*L21,""))</f>
        <v>459485.40474276972</v>
      </c>
      <c r="X21" s="14">
        <f>W21-L21*(V21)</f>
        <v>446494.16770958377</v>
      </c>
      <c r="Y21" s="12">
        <v>45</v>
      </c>
      <c r="Z21" s="73">
        <f>IF(INDEX('Res Measure Mapping'!$U:$U,MATCH($D21,'Res Measure Mapping'!$B:$B,0))="N/A",Y21,INDEX('Res Measure Mapping'!$U:$U,MATCH($D21,'Res Measure Mapping'!$B:$B,0)))</f>
        <v>45</v>
      </c>
      <c r="AA21" s="12">
        <f>Z21</f>
        <v>45</v>
      </c>
      <c r="AB21" s="12">
        <f>IF($B$2="Original",PV($F$96,$Y21,-$R21),PV($F$96,$AA21,-$R21))</f>
        <v>273499.72701444093</v>
      </c>
      <c r="AC21" s="12">
        <f>IF($B$2="Original",PV($F$96,$Y21,-$R21),PV($F$96,$AA21,-$R21))</f>
        <v>273499.72701444093</v>
      </c>
      <c r="AD21" s="15">
        <f>(R21/$R$92)*$AD$92</f>
        <v>36003.915105710599</v>
      </c>
      <c r="AE21" s="13">
        <v>1</v>
      </c>
      <c r="AF21" s="77">
        <v>1.25</v>
      </c>
      <c r="AG21" s="73" t="str">
        <f>INDEX('Res Measure Mapping'!$S:$S,MATCH($D21,'Res Measure Mapping'!$B:$B,0))</f>
        <v>sqft roof</v>
      </c>
      <c r="AH21" s="13">
        <f>AF21</f>
        <v>1.25</v>
      </c>
      <c r="AI21" s="13">
        <f>IF($B$2="Original",IF(ISNUMBER(AE21),AE21*L21,""),IF(ISNUMBER(AH21),AH21*L21,""))</f>
        <v>490903.21019526682</v>
      </c>
      <c r="AJ21" s="16">
        <f>IF(ISERROR(AI21/AC21),0,AI21/AC21)</f>
        <v>1.7948946989967083</v>
      </c>
      <c r="AK21" s="16">
        <f>IF(ISERROR((AD21+AI21)/AC21),0,(AD21+AI21)/AC21)</f>
        <v>1.9265362018922834</v>
      </c>
      <c r="AL21" s="82">
        <f>IF($B$2="Original",IF($AI21=0,"-",(VLOOKUP(Y21,'APP 2885'!$B$10:$G$54,6)*$R21)/($AI21+$AD21)),IF($AI21=0,"-",(VLOOKUP(AA21,'APP 2885'!$B$10:$G$54,6)*$R21)/($AI21+$AD21)))</f>
        <v>1.3899837965236652</v>
      </c>
      <c r="AM21" s="17">
        <f>IF(ISERROR(RU21/AB21),0,X21/AB21)</f>
        <v>1.6325214382609188</v>
      </c>
      <c r="AN21" s="18">
        <f>IF(ISERROR(X21/AB21),0,(X21+AD21)/AB21)</f>
        <v>1.7641629411564943</v>
      </c>
      <c r="AO21" s="108">
        <f>IF($B$2="Original",IF($AI21=0,"-",(VLOOKUP(Y21,'APP 2885'!$B$10:$G$54,4)*$R21)/($X21+$AD21)),IF($AI21=0,"-",(VLOOKUP(AA21,'APP 2885'!$B$10:$G$54,4)*$R21)/($X21+$AD21)))</f>
        <v>1.3799251560428967</v>
      </c>
    </row>
    <row r="22" spans="3:41" ht="20.100000000000001" customHeight="1" thickBot="1" x14ac:dyDescent="0.3">
      <c r="C22" s="119">
        <v>14</v>
      </c>
      <c r="D22" s="55" t="str">
        <f>E22&amp;"_"&amp;F22&amp;"_"&amp;G22</f>
        <v>Condensing Boiler_Zone 1_95+% Annual Fuel Utilization Efficiency (AFUE)</v>
      </c>
      <c r="E22" s="3" t="s">
        <v>35</v>
      </c>
      <c r="F22" s="3" t="s">
        <v>21</v>
      </c>
      <c r="G22" s="3" t="s">
        <v>36</v>
      </c>
      <c r="H22" s="3" t="str">
        <f>G22</f>
        <v>95+% Annual Fuel Utilization Efficiency (AFUE)</v>
      </c>
      <c r="I22" s="4">
        <v>11</v>
      </c>
      <c r="J22" s="4">
        <v>12</v>
      </c>
      <c r="K22" s="4"/>
      <c r="L22" s="4">
        <f>(R22/Q22)</f>
        <v>4.6335508362779647</v>
      </c>
      <c r="M22" s="131">
        <v>1.1742928621055893E-3</v>
      </c>
      <c r="N22" s="70">
        <v>77</v>
      </c>
      <c r="O22" s="70">
        <f>IF(INDEX('Res Measure Mapping'!$R:$R,MATCH($D22,'Res Measure Mapping'!$B:$B,0))="N/A",N22,INDEX('Res Measure Mapping'!$R:$R,MATCH($D22,'Res Measure Mapping'!$B:$B,0)))</f>
        <v>108.77656899256048</v>
      </c>
      <c r="P22" s="70" t="str">
        <f>INDEX('Res Measure Mapping'!$S:$S,MATCH($D22,'Res Measure Mapping'!$B:$B,0))</f>
        <v>kBTU/hr</v>
      </c>
      <c r="Q22" s="70">
        <f>O22</f>
        <v>108.77656899256048</v>
      </c>
      <c r="R22" s="135">
        <f>M22*$R$92</f>
        <v>504.02176222292633</v>
      </c>
      <c r="S22" s="5">
        <v>1747</v>
      </c>
      <c r="T22" s="76">
        <f>IF(INDEX('Res Measure Mapping'!$T:$T,MATCH($D22,'Res Measure Mapping'!$B:$B,0))="N/A",S22,INDEX('Res Measure Mapping'!$T:$T,MATCH($D22,'Res Measure Mapping'!$B:$B,0)))</f>
        <v>1782.7300000000002</v>
      </c>
      <c r="U22" s="5">
        <f>S22</f>
        <v>1747</v>
      </c>
      <c r="V22" s="5">
        <f>IF($B$2="Original",PV($F$96,$Y22,(-0.05*0.95*$N22)),PV($F$96,$AA22,(-0.05*0.95*$Q22)))</f>
        <v>86.089845863775636</v>
      </c>
      <c r="W22" s="5">
        <f>IF($B$2="Original",IF(ISNUMBER(S22),S22*L22,""),IF(ISNUMBER(U22),U22*L22,""))</f>
        <v>8094.8133109776045</v>
      </c>
      <c r="X22" s="6">
        <f>W22-L22*(V22)</f>
        <v>7695.9116336804655</v>
      </c>
      <c r="Y22" s="4">
        <v>45</v>
      </c>
      <c r="Z22" s="70">
        <f>IF(INDEX('Res Measure Mapping'!$U:$U,MATCH($D22,'Res Measure Mapping'!$B:$B,0))="N/A",Y22,INDEX('Res Measure Mapping'!$U:$U,MATCH($D22,'Res Measure Mapping'!$B:$B,0)))</f>
        <v>25</v>
      </c>
      <c r="AA22" s="4">
        <f>Z22</f>
        <v>25</v>
      </c>
      <c r="AB22" s="4">
        <f>IF($B$2="Original",PV($F$96,$Y22,-$R22),PV($F$96,$AA22,-$R22))</f>
        <v>8397.9300483608131</v>
      </c>
      <c r="AC22" s="4">
        <f>IF($B$2="Original",PV($F$96,$Y22,-$R22),PV($F$96,$AA22,-$R22))</f>
        <v>8397.9300483608131</v>
      </c>
      <c r="AD22" s="7">
        <f>(R22/$R$92)*$AD$92</f>
        <v>1518.0259972368269</v>
      </c>
      <c r="AE22" s="5">
        <v>750</v>
      </c>
      <c r="AF22" s="76">
        <f>ROUND(IF(INDEX('Res Measure Mapping'!$V:$V,MATCH($D22,'Res Measure Mapping'!$B:$B,0))="N/A",AE22,INDEX('Res Measure Mapping'!$V:$V,MATCH($D22,'Res Measure Mapping'!$B:$B,0))),0)</f>
        <v>535</v>
      </c>
      <c r="AG22" s="70" t="str">
        <f>INDEX('Res Measure Mapping'!$S:$S,MATCH($D22,'Res Measure Mapping'!$B:$B,0))</f>
        <v>kBTU/hr</v>
      </c>
      <c r="AH22" s="5">
        <v>900</v>
      </c>
      <c r="AI22" s="5">
        <f>IF($B$2="Original",IF(ISNUMBER(AE22),AE22*L22,""),IF(ISNUMBER(AH22),AH22*L22,""))</f>
        <v>4170.1957526501683</v>
      </c>
      <c r="AJ22" s="8">
        <f>IF(ISERROR(AI22/AC22),0,AI22/AC22)</f>
        <v>0.49657424253779614</v>
      </c>
      <c r="AK22" s="8">
        <f>IF(ISERROR((AD22+AI22)/AC22),0,(AD22+AI22)/AC22)</f>
        <v>0.67733616702335786</v>
      </c>
      <c r="AL22" s="81">
        <f>IF($B$2="Original",IF($AI22=0,"-",(VLOOKUP(Y22,'APP 2885'!$B$10:$G$54,6)*$R22)/($AI22+$AD22)),IF($AI22=0,"-",(VLOOKUP(AA22,'APP 2885'!$B$10:$G$54,6)*$R22)/($AI22+$AD22)))</f>
        <v>2.4508528342071139</v>
      </c>
      <c r="AM22" s="9">
        <f>IF(ISERROR(RU22/AB22),0,X22/AB22)</f>
        <v>0.91640577968169978</v>
      </c>
      <c r="AN22" s="10">
        <f>IF(ISERROR(X22/AB22),0,(X22+AD22)/AB22)</f>
        <v>1.0971677041672616</v>
      </c>
      <c r="AO22" s="107">
        <f>IF($B$2="Original",IF($AI22=0,"-",(VLOOKUP(Y22,'APP 2885'!$B$10:$G$54,4)*$R22)/($X22+$AD22)),IF($AI22=0,"-",(VLOOKUP(AA22,'APP 2885'!$B$10:$G$54,4)*$R22)/($X22+$AD22)))</f>
        <v>1.3754848120259382</v>
      </c>
    </row>
    <row r="23" spans="3:41" ht="20.100000000000001" customHeight="1" thickBot="1" x14ac:dyDescent="0.3">
      <c r="C23" s="119">
        <v>14</v>
      </c>
      <c r="D23" s="55" t="str">
        <f>E23&amp;"_"&amp;F23&amp;"_"&amp;G23</f>
        <v>Condensing Boiler_Zone 2_95+% Annual Fuel Utilization Efficiency (AFUE)</v>
      </c>
      <c r="E23" s="11" t="s">
        <v>35</v>
      </c>
      <c r="F23" s="11" t="s">
        <v>23</v>
      </c>
      <c r="G23" s="11" t="s">
        <v>36</v>
      </c>
      <c r="H23" s="11" t="str">
        <f>G23</f>
        <v>95+% Annual Fuel Utilization Efficiency (AFUE)</v>
      </c>
      <c r="I23" s="12">
        <v>2</v>
      </c>
      <c r="J23" s="12">
        <v>2</v>
      </c>
      <c r="K23" s="12"/>
      <c r="L23" s="12">
        <f>(R23/Q23)</f>
        <v>1.3736383172585753</v>
      </c>
      <c r="M23" s="132">
        <v>3.975365266292853E-4</v>
      </c>
      <c r="N23" s="71">
        <v>78</v>
      </c>
      <c r="O23" s="73">
        <f>IF(INDEX('Res Measure Mapping'!$R:$R,MATCH($D23,'Res Measure Mapping'!$B:$B,0))="N/A",N23,INDEX('Res Measure Mapping'!$R:$R,MATCH($D23,'Res Measure Mapping'!$B:$B,0)))</f>
        <v>124.21599125500825</v>
      </c>
      <c r="P23" s="73" t="str">
        <f>INDEX('Res Measure Mapping'!$S:$S,MATCH($D23,'Res Measure Mapping'!$B:$B,0))</f>
        <v>kBTU/hr</v>
      </c>
      <c r="Q23" s="71">
        <f>O23</f>
        <v>124.21599125500825</v>
      </c>
      <c r="R23" s="136">
        <f>M23*$R$92</f>
        <v>170.62784520413544</v>
      </c>
      <c r="S23" s="13">
        <v>1747</v>
      </c>
      <c r="T23" s="77">
        <f>IF(INDEX('Res Measure Mapping'!$T:$T,MATCH($D23,'Res Measure Mapping'!$B:$B,0))="N/A",S23,INDEX('Res Measure Mapping'!$T:$T,MATCH($D23,'Res Measure Mapping'!$B:$B,0)))</f>
        <v>2090.52</v>
      </c>
      <c r="U23" s="13">
        <f>S23</f>
        <v>1747</v>
      </c>
      <c r="V23" s="13">
        <f>IF($B$2="Original",PV($F$96,$Y23,(-0.05*0.95*$N23)),PV($F$96,$AA23,(-0.05*0.95*$Q23)))</f>
        <v>98.309182207163872</v>
      </c>
      <c r="W23" s="13">
        <f>IF($B$2="Original",IF(ISNUMBER(S23),S23*L23,""),IF(ISNUMBER(U23),U23*L23,""))</f>
        <v>2399.7461402507311</v>
      </c>
      <c r="X23" s="14">
        <f>W23-L23*(V23)</f>
        <v>2264.7048806326156</v>
      </c>
      <c r="Y23" s="12">
        <v>45</v>
      </c>
      <c r="Z23" s="73">
        <f>IF(INDEX('Res Measure Mapping'!$U:$U,MATCH($D23,'Res Measure Mapping'!$B:$B,0))="N/A",Y23,INDEX('Res Measure Mapping'!$U:$U,MATCH($D23,'Res Measure Mapping'!$B:$B,0)))</f>
        <v>25</v>
      </c>
      <c r="AA23" s="12">
        <f>Z23</f>
        <v>25</v>
      </c>
      <c r="AB23" s="12">
        <f>IF($B$2="Original",PV($F$96,$Y23,-$R23),PV($F$96,$AA23,-$R23))</f>
        <v>2842.9738866971634</v>
      </c>
      <c r="AC23" s="12">
        <f>IF($B$2="Original",PV($F$96,$Y23,-$R23),PV($F$96,$AA23,-$R23))</f>
        <v>2842.9738866971634</v>
      </c>
      <c r="AD23" s="15">
        <f>(R23/$R$92)*$AD$92</f>
        <v>513.90143102157651</v>
      </c>
      <c r="AE23" s="13">
        <v>750</v>
      </c>
      <c r="AF23" s="77">
        <f>ROUND(IF(INDEX('Res Measure Mapping'!$V:$V,MATCH($D23,'Res Measure Mapping'!$B:$B,0))="N/A",AE23,INDEX('Res Measure Mapping'!$V:$V,MATCH($D23,'Res Measure Mapping'!$B:$B,0))),0)</f>
        <v>628</v>
      </c>
      <c r="AG23" s="73" t="str">
        <f>INDEX('Res Measure Mapping'!$S:$S,MATCH($D23,'Res Measure Mapping'!$B:$B,0))</f>
        <v>kBTU/hr</v>
      </c>
      <c r="AH23" s="13">
        <v>900</v>
      </c>
      <c r="AI23" s="13">
        <f>IF($B$2="Original",IF(ISNUMBER(AE23),AE23*L23,""),IF(ISNUMBER(AH23),AH23*L23,""))</f>
        <v>1236.2744855327178</v>
      </c>
      <c r="AJ23" s="16">
        <f>IF(ISERROR(AI23/AC23),0,AI23/AC23)</f>
        <v>0.43485256453374066</v>
      </c>
      <c r="AK23" s="16">
        <f>IF(ISERROR((AD23+AI23)/AC23),0,(AD23+AI23)/AC23)</f>
        <v>0.61561448901930238</v>
      </c>
      <c r="AL23" s="82">
        <f>IF($B$2="Original",IF($AI23=0,"-",(VLOOKUP(Y23,'APP 2885'!$B$10:$G$54,6)*$R23)/($AI23+$AD23)),IF($AI23=0,"-",(VLOOKUP(AA23,'APP 2885'!$B$10:$G$54,6)*$R23)/($AI23+$AD23)))</f>
        <v>2.6965760135124586</v>
      </c>
      <c r="AM23" s="17">
        <f>IF(ISERROR(RU23/AB23),0,X23/AB23)</f>
        <v>0.79659714471160548</v>
      </c>
      <c r="AN23" s="18">
        <f>IF(ISERROR(X23/AB23),0,(X23+AD23)/AB23)</f>
        <v>0.9773590691971672</v>
      </c>
      <c r="AO23" s="108">
        <f>IF($B$2="Original",IF($AI23=0,"-",(VLOOKUP(Y23,'APP 2885'!$B$10:$G$54,4)*$R23)/($X23+$AD23)),IF($AI23=0,"-",(VLOOKUP(AA23,'APP 2885'!$B$10:$G$54,4)*$R23)/($X23+$AD23)))</f>
        <v>1.544097313761142</v>
      </c>
    </row>
    <row r="24" spans="3:41" ht="20.100000000000001" customHeight="1" thickBot="1" x14ac:dyDescent="0.3">
      <c r="C24" s="119">
        <v>14</v>
      </c>
      <c r="D24" s="55" t="str">
        <f>E24&amp;"_"&amp;F24&amp;"_"&amp;G24</f>
        <v>Condensing Boiler_Zone 3_95+% Annual Fuel Utilization Efficiency (AFUE)</v>
      </c>
      <c r="E24" s="3" t="s">
        <v>35</v>
      </c>
      <c r="F24" s="3" t="s">
        <v>24</v>
      </c>
      <c r="G24" s="3" t="s">
        <v>36</v>
      </c>
      <c r="H24" s="3" t="str">
        <f>G24</f>
        <v>95+% Annual Fuel Utilization Efficiency (AFUE)</v>
      </c>
      <c r="I24" s="4">
        <v>2</v>
      </c>
      <c r="J24" s="4">
        <v>2</v>
      </c>
      <c r="K24" s="4"/>
      <c r="L24" s="4">
        <f>(R24/Q24)</f>
        <v>0.74092867765037784</v>
      </c>
      <c r="M24" s="131">
        <v>1.9101965341076387E-4</v>
      </c>
      <c r="N24" s="70">
        <v>67</v>
      </c>
      <c r="O24" s="70">
        <f>IF(INDEX('Res Measure Mapping'!$R:$R,MATCH($D24,'Res Measure Mapping'!$B:$B,0))="N/A",N24,INDEX('Res Measure Mapping'!$R:$R,MATCH($D24,'Res Measure Mapping'!$B:$B,0)))</f>
        <v>110.65588493536748</v>
      </c>
      <c r="P24" s="70" t="str">
        <f>INDEX('Res Measure Mapping'!$S:$S,MATCH($D24,'Res Measure Mapping'!$B:$B,0))</f>
        <v>kBTU/hr</v>
      </c>
      <c r="Q24" s="70">
        <f>O24</f>
        <v>110.65588493536748</v>
      </c>
      <c r="R24" s="135">
        <f>M24*$R$92</f>
        <v>81.98811849939419</v>
      </c>
      <c r="S24" s="5">
        <v>1747</v>
      </c>
      <c r="T24" s="76">
        <f>IF(INDEX('Res Measure Mapping'!$T:$T,MATCH($D24,'Res Measure Mapping'!$B:$B,0))="N/A",S24,INDEX('Res Measure Mapping'!$T:$T,MATCH($D24,'Res Measure Mapping'!$B:$B,0)))</f>
        <v>2090.52</v>
      </c>
      <c r="U24" s="5">
        <f>S24</f>
        <v>1747</v>
      </c>
      <c r="V24" s="5">
        <f>IF($B$2="Original",PV($F$96,$Y24,(-0.05*0.95*$N24)),PV($F$96,$AA24,(-0.05*0.95*$Q24)))</f>
        <v>87.577206803213386</v>
      </c>
      <c r="W24" s="5">
        <f>IF($B$2="Original",IF(ISNUMBER(S24),S24*L24,""),IF(ISNUMBER(U24),U24*L24,""))</f>
        <v>1294.40239985521</v>
      </c>
      <c r="X24" s="6">
        <f>W24-L24*(V24)</f>
        <v>1229.5139358261913</v>
      </c>
      <c r="Y24" s="4">
        <v>45</v>
      </c>
      <c r="Z24" s="70">
        <f>IF(INDEX('Res Measure Mapping'!$U:$U,MATCH($D24,'Res Measure Mapping'!$B:$B,0))="N/A",Y24,INDEX('Res Measure Mapping'!$U:$U,MATCH($D24,'Res Measure Mapping'!$B:$B,0)))</f>
        <v>25</v>
      </c>
      <c r="AA24" s="4">
        <f>Z24</f>
        <v>25</v>
      </c>
      <c r="AB24" s="4">
        <f>IF($B$2="Original",PV($F$96,$Y24,-$R24),PV($F$96,$AA24,-$R24))</f>
        <v>1366.0729269267067</v>
      </c>
      <c r="AC24" s="4">
        <f>IF($B$2="Original",PV($F$96,$Y24,-$R24),PV($F$96,$AA24,-$R24))</f>
        <v>1366.0729269267067</v>
      </c>
      <c r="AD24" s="7">
        <f>(R24/$R$92)*$AD$92</f>
        <v>246.93397125889561</v>
      </c>
      <c r="AE24" s="5">
        <v>750</v>
      </c>
      <c r="AF24" s="76">
        <f>ROUND(IF(INDEX('Res Measure Mapping'!$V:$V,MATCH($D24,'Res Measure Mapping'!$B:$B,0))="N/A",AE24,INDEX('Res Measure Mapping'!$V:$V,MATCH($D24,'Res Measure Mapping'!$B:$B,0))),0)</f>
        <v>628</v>
      </c>
      <c r="AG24" s="70" t="str">
        <f>INDEX('Res Measure Mapping'!$S:$S,MATCH($D24,'Res Measure Mapping'!$B:$B,0))</f>
        <v>kBTU/hr</v>
      </c>
      <c r="AH24" s="5">
        <v>900</v>
      </c>
      <c r="AI24" s="5">
        <f>IF($B$2="Original",IF(ISNUMBER(AE24),AE24*L24,""),IF(ISNUMBER(AH24),AH24*L24,""))</f>
        <v>666.83580988534004</v>
      </c>
      <c r="AJ24" s="8">
        <f>IF(ISERROR(AI24/AC24),0,AI24/AC24)</f>
        <v>0.48814071104208151</v>
      </c>
      <c r="AK24" s="8">
        <f>IF(ISERROR((AD24+AI24)/AC24),0,(AD24+AI24)/AC24)</f>
        <v>0.66890263552764317</v>
      </c>
      <c r="AL24" s="81">
        <f>IF($B$2="Original",IF($AI24=0,"-",(VLOOKUP(Y24,'APP 2885'!$B$10:$G$54,6)*$R24)/($AI24+$AD24)),IF($AI24=0,"-",(VLOOKUP(AA24,'APP 2885'!$B$10:$G$54,6)*$R24)/($AI24+$AD24)))</f>
        <v>2.4817532126341515</v>
      </c>
      <c r="AM24" s="9">
        <f>IF(ISERROR(RU24/AB24),0,X24/AB24)</f>
        <v>0.90003535798946244</v>
      </c>
      <c r="AN24" s="10">
        <f>IF(ISERROR(X24/AB24),0,(X24+AD24)/AB24)</f>
        <v>1.080797282475024</v>
      </c>
      <c r="AO24" s="107">
        <f>IF($B$2="Original",IF($AI24=0,"-",(VLOOKUP(Y24,'APP 2885'!$B$10:$G$54,4)*$R24)/($X24+$AD24)),IF($AI24=0,"-",(VLOOKUP(AA24,'APP 2885'!$B$10:$G$54,4)*$R24)/($X24+$AD24)))</f>
        <v>1.3963187526448191</v>
      </c>
    </row>
    <row r="25" spans="3:41" ht="20.100000000000001" customHeight="1" thickBot="1" x14ac:dyDescent="0.3">
      <c r="C25" s="119" t="s">
        <v>125</v>
      </c>
      <c r="D25" s="55" t="str">
        <f>E25&amp;"_"&amp;F25&amp;"_"&amp;G25</f>
        <v>Condensing Boiler_Zone 3_95+% Annual Fuel Utilization Efficiency (AFUE)</v>
      </c>
      <c r="E25" s="11" t="s">
        <v>35</v>
      </c>
      <c r="F25" s="11" t="s">
        <v>24</v>
      </c>
      <c r="G25" s="11" t="s">
        <v>36</v>
      </c>
      <c r="H25" s="11" t="str">
        <f>G25</f>
        <v>95+% Annual Fuel Utilization Efficiency (AFUE)</v>
      </c>
      <c r="I25" s="12">
        <v>1</v>
      </c>
      <c r="J25" s="12">
        <v>1</v>
      </c>
      <c r="K25" s="12"/>
      <c r="L25" s="12">
        <f>(R25/Q25)</f>
        <v>0.74092867765037784</v>
      </c>
      <c r="M25" s="132">
        <v>1.9101965341076387E-4</v>
      </c>
      <c r="N25" s="71">
        <v>106</v>
      </c>
      <c r="O25" s="73">
        <f>IF(INDEX('Res Measure Mapping'!$R:$R,MATCH($D25,'Res Measure Mapping'!$B:$B,0))="N/A",N25,INDEX('Res Measure Mapping'!$R:$R,MATCH($D25,'Res Measure Mapping'!$B:$B,0)))</f>
        <v>110.65588493536748</v>
      </c>
      <c r="P25" s="73" t="str">
        <f>INDEX('Res Measure Mapping'!$S:$S,MATCH($D25,'Res Measure Mapping'!$B:$B,0))</f>
        <v>kBTU/hr</v>
      </c>
      <c r="Q25" s="71">
        <f>O25</f>
        <v>110.65588493536748</v>
      </c>
      <c r="R25" s="136">
        <f>M25*$R$92</f>
        <v>81.98811849939419</v>
      </c>
      <c r="S25" s="13">
        <v>1747</v>
      </c>
      <c r="T25" s="77">
        <f>IF(INDEX('Res Measure Mapping'!$T:$T,MATCH($D25,'Res Measure Mapping'!$B:$B,0))="N/A",S25,INDEX('Res Measure Mapping'!$T:$T,MATCH($D25,'Res Measure Mapping'!$B:$B,0)))</f>
        <v>2090.52</v>
      </c>
      <c r="U25" s="13">
        <f>S25</f>
        <v>1747</v>
      </c>
      <c r="V25" s="13">
        <f>IF($B$2="Original",PV($F$96,$Y25,(-0.05*0.95*$N25)),PV($F$96,$AA25,(-0.05*0.95*$Q25)))</f>
        <v>87.577206803213386</v>
      </c>
      <c r="W25" s="13">
        <f>IF($B$2="Original",IF(ISNUMBER(S25),S25*L25,""),IF(ISNUMBER(U25),U25*L25,""))</f>
        <v>1294.40239985521</v>
      </c>
      <c r="X25" s="14">
        <f>W25-L25*(V25)</f>
        <v>1229.5139358261913</v>
      </c>
      <c r="Y25" s="12">
        <v>45</v>
      </c>
      <c r="Z25" s="73">
        <f>IF(INDEX('Res Measure Mapping'!$U:$U,MATCH($D25,'Res Measure Mapping'!$B:$B,0))="N/A",Y25,INDEX('Res Measure Mapping'!$U:$U,MATCH($D25,'Res Measure Mapping'!$B:$B,0)))</f>
        <v>25</v>
      </c>
      <c r="AA25" s="12">
        <f>Z25</f>
        <v>25</v>
      </c>
      <c r="AB25" s="12">
        <f>IF($B$2="Original",PV($F$96,$Y25,-$R25),PV($F$96,$AA25,-$R25))</f>
        <v>1366.0729269267067</v>
      </c>
      <c r="AC25" s="12">
        <f>IF($B$2="Original",PV($F$96,$Y25,-$R25),PV($F$96,$AA25,-$R25))</f>
        <v>1366.0729269267067</v>
      </c>
      <c r="AD25" s="15">
        <f>(R25/$R$92)*$AD$92</f>
        <v>246.93397125889561</v>
      </c>
      <c r="AE25" s="13">
        <v>500</v>
      </c>
      <c r="AF25" s="77">
        <f>ROUND(IF(INDEX('Res Measure Mapping'!$V:$V,MATCH($D25,'Res Measure Mapping'!$B:$B,0))="N/A",AE25,INDEX('Res Measure Mapping'!$V:$V,MATCH($D25,'Res Measure Mapping'!$B:$B,0))),0)</f>
        <v>628</v>
      </c>
      <c r="AG25" s="73" t="str">
        <f>INDEX('Res Measure Mapping'!$S:$S,MATCH($D25,'Res Measure Mapping'!$B:$B,0))</f>
        <v>kBTU/hr</v>
      </c>
      <c r="AH25" s="13">
        <f>AE25</f>
        <v>500</v>
      </c>
      <c r="AI25" s="13">
        <f>IF($B$2="Original",IF(ISNUMBER(AE25),AE25*L25,""),IF(ISNUMBER(AH25),AH25*L25,""))</f>
        <v>370.46433882518892</v>
      </c>
      <c r="AJ25" s="16">
        <f>IF(ISERROR(AI25/AC25),0,AI25/AC25)</f>
        <v>0.27118928391226749</v>
      </c>
      <c r="AK25" s="16">
        <f>IF(ISERROR((AD25+AI25)/AC25),0,(AD25+AI25)/AC25)</f>
        <v>0.45195120839782921</v>
      </c>
      <c r="AL25" s="82">
        <f>IF($B$2="Original",IF($AI25=0,"-",(VLOOKUP(Y25,'APP 2885'!$B$10:$G$54,6)*$R25)/($AI25+$AD25)),IF($AI25=0,"-",(VLOOKUP(AA25,'APP 2885'!$B$10:$G$54,6)*$R25)/($AI25+$AD25)))</f>
        <v>3.6730762830462935</v>
      </c>
      <c r="AM25" s="17">
        <f>IF(ISERROR(RU25/AB25),0,X25/AB25)</f>
        <v>0.90003535798946244</v>
      </c>
      <c r="AN25" s="18">
        <f>IF(ISERROR(X25/AB25),0,(X25+AD25)/AB25)</f>
        <v>1.080797282475024</v>
      </c>
      <c r="AO25" s="108">
        <f>IF($B$2="Original",IF($AI25=0,"-",(VLOOKUP(Y25,'APP 2885'!$B$10:$G$54,4)*$R25)/($X25+$AD25)),IF($AI25=0,"-",(VLOOKUP(AA25,'APP 2885'!$B$10:$G$54,4)*$R25)/($X25+$AD25)))</f>
        <v>1.3963187526448191</v>
      </c>
    </row>
    <row r="26" spans="3:41" ht="20.100000000000001" customHeight="1" thickBot="1" x14ac:dyDescent="0.3">
      <c r="C26" s="119">
        <v>12</v>
      </c>
      <c r="D26" s="55" t="str">
        <f>E26&amp;"_"&amp;F26&amp;"_"&amp;G26</f>
        <v>Condensing High-Efficiency Natural Gas Tankless Water Heater_Zone 1_0.91+ Energy Factor (EF) or Greater</v>
      </c>
      <c r="E26" s="3" t="s">
        <v>37</v>
      </c>
      <c r="F26" s="3" t="s">
        <v>21</v>
      </c>
      <c r="G26" s="3" t="s">
        <v>38</v>
      </c>
      <c r="H26" s="3" t="s">
        <v>330</v>
      </c>
      <c r="I26" s="4">
        <v>1</v>
      </c>
      <c r="J26" s="4">
        <v>1</v>
      </c>
      <c r="K26" s="4"/>
      <c r="L26" s="4">
        <f>(R26/Q26)</f>
        <v>380.70426179737831</v>
      </c>
      <c r="M26" s="131">
        <v>5.727934886050727E-2</v>
      </c>
      <c r="N26" s="70">
        <v>54</v>
      </c>
      <c r="O26" s="70">
        <f>IF(INDEX('Res Measure Mapping'!$R:$R,MATCH($D26,'Res Measure Mapping'!$B:$B,0))="N/A",N26,INDEX('Res Measure Mapping'!$R:$R,MATCH($D26,'Res Measure Mapping'!$B:$B,0)))</f>
        <v>64.577793393733444</v>
      </c>
      <c r="P26" s="70" t="str">
        <f>INDEX('Res Measure Mapping'!$S:$S,MATCH($D26,'Res Measure Mapping'!$B:$B,0))</f>
        <v>unit</v>
      </c>
      <c r="Q26" s="70">
        <f>O26</f>
        <v>64.577793393733444</v>
      </c>
      <c r="R26" s="135">
        <f>M26*$R$92</f>
        <v>24585.041162464906</v>
      </c>
      <c r="S26" s="5">
        <v>1171</v>
      </c>
      <c r="T26" s="76">
        <f>IF(INDEX('Res Measure Mapping'!$T:$T,MATCH($D26,'Res Measure Mapping'!$B:$B,0))="N/A",S26,INDEX('Res Measure Mapping'!$T:$T,MATCH($D26,'Res Measure Mapping'!$B:$B,0)))</f>
        <v>2447.4499999999998</v>
      </c>
      <c r="U26" s="5">
        <f>S26</f>
        <v>1171</v>
      </c>
      <c r="V26" s="5">
        <f>IF($B$2="Original",PV($F$96,$Y26,(-0.05*0.95*$N26)),PV($F$96,$AA26,(-0.05*0.95*$Q26)))</f>
        <v>31.80310057447938</v>
      </c>
      <c r="W26" s="5">
        <f>IF($B$2="Original",IF(ISNUMBER(S26),S26*L26,""),IF(ISNUMBER(U26),U26*L26,""))</f>
        <v>445804.69056472997</v>
      </c>
      <c r="X26" s="6">
        <f>W26-L26*(V26)</f>
        <v>433697.11463765503</v>
      </c>
      <c r="Y26" s="4">
        <v>18</v>
      </c>
      <c r="Z26" s="70">
        <f>IF(INDEX('Res Measure Mapping'!$U:$U,MATCH($D26,'Res Measure Mapping'!$B:$B,0))="N/A",Y26,INDEX('Res Measure Mapping'!$U:$U,MATCH($D26,'Res Measure Mapping'!$B:$B,0)))</f>
        <v>13</v>
      </c>
      <c r="AA26" s="4">
        <f>Z26</f>
        <v>13</v>
      </c>
      <c r="AB26" s="4">
        <f>IF($B$2="Original",PV($F$96,$Y26,-$R26),PV($F$96,$AA26,-$R26))</f>
        <v>254896.33530684107</v>
      </c>
      <c r="AC26" s="4">
        <f>IF($B$2="Original",PV($F$96,$Y26,-$R26),PV($F$96,$AA26,-$R26))</f>
        <v>254896.33530684107</v>
      </c>
      <c r="AD26" s="7">
        <f>(R26/$R$92)*$AD$92</f>
        <v>74045.873462210657</v>
      </c>
      <c r="AE26" s="5">
        <v>250</v>
      </c>
      <c r="AF26" s="76">
        <f>ROUND(IF(INDEX('Res Measure Mapping'!$V:$V,MATCH($D26,'Res Measure Mapping'!$B:$B,0))="N/A",AE26,INDEX('Res Measure Mapping'!$V:$V,MATCH($D26,'Res Measure Mapping'!$B:$B,0))),0)</f>
        <v>320</v>
      </c>
      <c r="AG26" s="70" t="str">
        <f>INDEX('Res Measure Mapping'!$S:$S,MATCH($D26,'Res Measure Mapping'!$B:$B,0))</f>
        <v>unit</v>
      </c>
      <c r="AH26" s="5">
        <v>350</v>
      </c>
      <c r="AI26" s="5">
        <f>IF($B$2="Original",IF(ISNUMBER(AE26),AE26*L26,""),IF(ISNUMBER(AH26),AH26*L26,""))</f>
        <v>133246.49162908242</v>
      </c>
      <c r="AJ26" s="8">
        <f>IF(ISERROR(AI26/AC26),0,AI26/AC26)</f>
        <v>0.52274777300615927</v>
      </c>
      <c r="AK26" s="8">
        <f>IF(ISERROR((AD26+AI26)/AC26),0,(AD26+AI26)/AC26)</f>
        <v>0.81324184140096434</v>
      </c>
      <c r="AL26" s="81">
        <f>IF($B$2="Original",IF($AI26=0,"-",(VLOOKUP(Y26,'APP 2885'!$B$10:$G$54,6)*$R26)/($AI26+$AD26)),IF($AI26=0,"-",(VLOOKUP(AA26,'APP 2885'!$B$10:$G$54,6)*$R26)/($AI26+$AD26)))</f>
        <v>1.5406632449753042</v>
      </c>
      <c r="AM26" s="9">
        <f>IF(ISERROR(RU26/AB26),0,X26/AB26)</f>
        <v>1.7014646919720355</v>
      </c>
      <c r="AN26" s="10">
        <f>IF(ISERROR(X26/AB26),0,(X26+AD26)/AB26)</f>
        <v>1.9919587603668405</v>
      </c>
      <c r="AO26" s="107">
        <f>IF($B$2="Original",IF($AI26=0,"-",(VLOOKUP(Y26,'APP 2885'!$B$10:$G$54,4)*$R26)/($X26+$AD26)),IF($AI26=0,"-",(VLOOKUP(AA26,'APP 2885'!$B$10:$G$54,4)*$R26)/($X26+$AD26)))</f>
        <v>0.57181350576836265</v>
      </c>
    </row>
    <row r="27" spans="3:41" ht="20.100000000000001" customHeight="1" thickBot="1" x14ac:dyDescent="0.3">
      <c r="C27" s="119">
        <v>12</v>
      </c>
      <c r="D27" s="55" t="str">
        <f>E27&amp;"_"&amp;F27&amp;"_"&amp;G27</f>
        <v>Condensing High-Efficiency Natural Gas Tankless Water Heater_Zone 2_0.91+ Energy Factor (EF) or Greater</v>
      </c>
      <c r="E27" s="11" t="s">
        <v>37</v>
      </c>
      <c r="F27" s="11" t="s">
        <v>23</v>
      </c>
      <c r="G27" s="11" t="s">
        <v>38</v>
      </c>
      <c r="H27" s="11" t="s">
        <v>330</v>
      </c>
      <c r="I27" s="12">
        <v>5</v>
      </c>
      <c r="J27" s="12">
        <v>5</v>
      </c>
      <c r="K27" s="12"/>
      <c r="L27" s="12">
        <f>(R27/Q27)</f>
        <v>164.69540570352035</v>
      </c>
      <c r="M27" s="132">
        <v>2.4642176555066474E-2</v>
      </c>
      <c r="N27" s="71">
        <v>54</v>
      </c>
      <c r="O27" s="73">
        <f>IF(INDEX('Res Measure Mapping'!$R:$R,MATCH($D27,'Res Measure Mapping'!$B:$B,0))="N/A",N27,INDEX('Res Measure Mapping'!$R:$R,MATCH($D27,'Res Measure Mapping'!$B:$B,0)))</f>
        <v>64.22002168518091</v>
      </c>
      <c r="P27" s="73" t="str">
        <f>INDEX('Res Measure Mapping'!$S:$S,MATCH($D27,'Res Measure Mapping'!$B:$B,0))</f>
        <v>unit</v>
      </c>
      <c r="Q27" s="71">
        <f>O27</f>
        <v>64.22002168518091</v>
      </c>
      <c r="R27" s="136">
        <f>M27*$R$92</f>
        <v>10576.742525729745</v>
      </c>
      <c r="S27" s="13">
        <v>1171</v>
      </c>
      <c r="T27" s="77">
        <f>IF(INDEX('Res Measure Mapping'!$T:$T,MATCH($D27,'Res Measure Mapping'!$B:$B,0))="N/A",S27,INDEX('Res Measure Mapping'!$T:$T,MATCH($D27,'Res Measure Mapping'!$B:$B,0)))</f>
        <v>1882.25</v>
      </c>
      <c r="U27" s="13">
        <f>S27</f>
        <v>1171</v>
      </c>
      <c r="V27" s="13">
        <f>IF($B$2="Original",PV($F$96,$Y27,(-0.05*0.95*$N27)),PV($F$96,$AA27,(-0.05*0.95*$Q27)))</f>
        <v>31.62690611146288</v>
      </c>
      <c r="W27" s="13">
        <f>IF($B$2="Original",IF(ISNUMBER(S27),S27*L27,""),IF(ISNUMBER(U27),U27*L27,""))</f>
        <v>192858.32007882232</v>
      </c>
      <c r="X27" s="14">
        <f>W27-L27*(V27)</f>
        <v>187649.51394564781</v>
      </c>
      <c r="Y27" s="12">
        <v>18</v>
      </c>
      <c r="Z27" s="73">
        <f>IF(INDEX('Res Measure Mapping'!$U:$U,MATCH($D27,'Res Measure Mapping'!$B:$B,0))="N/A",Y27,INDEX('Res Measure Mapping'!$U:$U,MATCH($D27,'Res Measure Mapping'!$B:$B,0)))</f>
        <v>13</v>
      </c>
      <c r="AA27" s="12">
        <f>Z27</f>
        <v>13</v>
      </c>
      <c r="AB27" s="12">
        <f>IF($B$2="Original",PV($F$96,$Y27,-$R27),PV($F$96,$AA27,-$R27))</f>
        <v>109659.07648788475</v>
      </c>
      <c r="AC27" s="12">
        <f>IF($B$2="Original",PV($F$96,$Y27,-$R27),PV($F$96,$AA27,-$R27))</f>
        <v>109659.07648788475</v>
      </c>
      <c r="AD27" s="15">
        <f>(R27/$R$92)*$AD$92</f>
        <v>31855.311265382752</v>
      </c>
      <c r="AE27" s="13">
        <v>250</v>
      </c>
      <c r="AF27" s="77">
        <f>ROUND(IF(INDEX('Res Measure Mapping'!$V:$V,MATCH($D27,'Res Measure Mapping'!$B:$B,0))="N/A",AE27,INDEX('Res Measure Mapping'!$V:$V,MATCH($D27,'Res Measure Mapping'!$B:$B,0))),0)</f>
        <v>246</v>
      </c>
      <c r="AG27" s="73" t="str">
        <f>INDEX('Res Measure Mapping'!$S:$S,MATCH($D27,'Res Measure Mapping'!$B:$B,0))</f>
        <v>unit</v>
      </c>
      <c r="AH27" s="13">
        <f>AH26</f>
        <v>350</v>
      </c>
      <c r="AI27" s="13">
        <f>IF($B$2="Original",IF(ISNUMBER(AE27),AE27*L27,""),IF(ISNUMBER(AH27),AH27*L27,""))</f>
        <v>57643.391996232123</v>
      </c>
      <c r="AJ27" s="16">
        <f>IF(ISERROR(AI27/AC27),0,AI27/AC27)</f>
        <v>0.52566001686691777</v>
      </c>
      <c r="AK27" s="16">
        <f>IF(ISERROR((AD27+AI27)/AC27),0,(AD27+AI27)/AC27)</f>
        <v>0.81615408526172284</v>
      </c>
      <c r="AL27" s="82">
        <f>IF($B$2="Original",IF($AI27=0,"-",(VLOOKUP(Y27,'APP 2885'!$B$10:$G$54,6)*$R27)/($AI27+$AD27)),IF($AI27=0,"-",(VLOOKUP(AA27,'APP 2885'!$B$10:$G$54,6)*$R27)/($AI27+$AD27)))</f>
        <v>1.5351657694891199</v>
      </c>
      <c r="AM27" s="17">
        <f>IF(ISERROR(RU27/AB27),0,X27/AB27)</f>
        <v>1.711208227860459</v>
      </c>
      <c r="AN27" s="18">
        <f>IF(ISERROR(X27/AB27),0,(X27+AD27)/AB27)</f>
        <v>2.0017022962552642</v>
      </c>
      <c r="AO27" s="108">
        <f>IF($B$2="Original",IF($AI27=0,"-",(VLOOKUP(Y27,'APP 2885'!$B$10:$G$54,4)*$R27)/($X27+$AD27)),IF($AI27=0,"-",(VLOOKUP(AA27,'APP 2885'!$B$10:$G$54,4)*$R27)/($X27+$AD27)))</f>
        <v>0.56903013212415876</v>
      </c>
    </row>
    <row r="28" spans="3:41" ht="20.100000000000001" customHeight="1" thickBot="1" x14ac:dyDescent="0.3">
      <c r="C28" s="119">
        <v>12</v>
      </c>
      <c r="D28" s="55" t="str">
        <f>E28&amp;"_"&amp;F28&amp;"_"&amp;G28</f>
        <v>Condensing High-Efficiency Natural Gas Tankless Water Heater_Zone 3_0.91+ Energy Factor (EF) or Greater</v>
      </c>
      <c r="E28" s="3" t="s">
        <v>37</v>
      </c>
      <c r="F28" s="3" t="s">
        <v>24</v>
      </c>
      <c r="G28" s="3" t="s">
        <v>38</v>
      </c>
      <c r="H28" s="3" t="s">
        <v>330</v>
      </c>
      <c r="I28" s="4">
        <v>9</v>
      </c>
      <c r="J28" s="4">
        <v>9</v>
      </c>
      <c r="K28" s="4"/>
      <c r="L28" s="4">
        <f>(R28/Q28)</f>
        <v>223.4890539876514</v>
      </c>
      <c r="M28" s="131">
        <v>3.3159607939311282E-2</v>
      </c>
      <c r="N28" s="70">
        <v>54</v>
      </c>
      <c r="O28" s="70">
        <f>IF(INDEX('Res Measure Mapping'!$R:$R,MATCH($D28,'Res Measure Mapping'!$B:$B,0))="N/A",N28,INDEX('Res Measure Mapping'!$R:$R,MATCH($D28,'Res Measure Mapping'!$B:$B,0)))</f>
        <v>63.68336412235211</v>
      </c>
      <c r="P28" s="70" t="str">
        <f>INDEX('Res Measure Mapping'!$S:$S,MATCH($D28,'Res Measure Mapping'!$B:$B,0))</f>
        <v>unit</v>
      </c>
      <c r="Q28" s="70">
        <f>O28</f>
        <v>63.68336412235211</v>
      </c>
      <c r="R28" s="135">
        <f>M28*$R$92</f>
        <v>14232.534802455613</v>
      </c>
      <c r="S28" s="5">
        <v>1171</v>
      </c>
      <c r="T28" s="76">
        <f>IF(INDEX('Res Measure Mapping'!$T:$T,MATCH($D28,'Res Measure Mapping'!$B:$B,0))="N/A",S28,INDEX('Res Measure Mapping'!$T:$T,MATCH($D28,'Res Measure Mapping'!$B:$B,0)))</f>
        <v>1882.25</v>
      </c>
      <c r="U28" s="5">
        <f>S28</f>
        <v>1171</v>
      </c>
      <c r="V28" s="5">
        <f>IF($B$2="Original",PV($F$96,$Y28,(-0.05*0.95*$N28)),PV($F$96,$AA28,(-0.05*0.95*$Q28)))</f>
        <v>31.362614416938126</v>
      </c>
      <c r="W28" s="5">
        <f>IF($B$2="Original",IF(ISNUMBER(S28),S28*L28,""),IF(ISNUMBER(U28),U28*L28,""))</f>
        <v>261705.6822195398</v>
      </c>
      <c r="X28" s="6">
        <f>W28-L28*(V28)</f>
        <v>254696.48119291881</v>
      </c>
      <c r="Y28" s="4">
        <v>18</v>
      </c>
      <c r="Z28" s="70">
        <f>IF(INDEX('Res Measure Mapping'!$U:$U,MATCH($D28,'Res Measure Mapping'!$B:$B,0))="N/A",Y28,INDEX('Res Measure Mapping'!$U:$U,MATCH($D28,'Res Measure Mapping'!$B:$B,0)))</f>
        <v>13</v>
      </c>
      <c r="AA28" s="4">
        <f>Z28</f>
        <v>13</v>
      </c>
      <c r="AB28" s="4">
        <f>IF($B$2="Original",PV($F$96,$Y28,-$R28),PV($F$96,$AA28,-$R28))</f>
        <v>147562.12687623114</v>
      </c>
      <c r="AC28" s="4">
        <f>IF($B$2="Original",PV($F$96,$Y28,-$R28),PV($F$96,$AA28,-$R28))</f>
        <v>147562.12687623114</v>
      </c>
      <c r="AD28" s="7">
        <f>(R28/$R$92)*$AD$92</f>
        <v>42865.922577266785</v>
      </c>
      <c r="AE28" s="5">
        <v>250</v>
      </c>
      <c r="AF28" s="76">
        <f>ROUND(IF(INDEX('Res Measure Mapping'!$V:$V,MATCH($D28,'Res Measure Mapping'!$B:$B,0))="N/A",AE28,INDEX('Res Measure Mapping'!$V:$V,MATCH($D28,'Res Measure Mapping'!$B:$B,0))),0)</f>
        <v>246</v>
      </c>
      <c r="AG28" s="70" t="str">
        <f>INDEX('Res Measure Mapping'!$S:$S,MATCH($D28,'Res Measure Mapping'!$B:$B,0))</f>
        <v>unit</v>
      </c>
      <c r="AH28" s="5">
        <f>AH26</f>
        <v>350</v>
      </c>
      <c r="AI28" s="5">
        <f>IF($B$2="Original",IF(ISNUMBER(AE28),AE28*L28,""),IF(ISNUMBER(AH28),AH28*L28,""))</f>
        <v>78221.168895677998</v>
      </c>
      <c r="AJ28" s="8">
        <f>IF(ISERROR(AI28/AC28),0,AI28/AC28)</f>
        <v>0.53008973611017818</v>
      </c>
      <c r="AK28" s="8">
        <f>IF(ISERROR((AD28+AI28)/AC28),0,(AD28+AI28)/AC28)</f>
        <v>0.82058380450498325</v>
      </c>
      <c r="AL28" s="81">
        <f>IF($B$2="Original",IF($AI28=0,"-",(VLOOKUP(Y28,'APP 2885'!$B$10:$G$54,6)*$R28)/($AI28+$AD28)),IF($AI28=0,"-",(VLOOKUP(AA28,'APP 2885'!$B$10:$G$54,6)*$R28)/($AI28+$AD28)))</f>
        <v>1.5268785557842344</v>
      </c>
      <c r="AM28" s="9">
        <f>IF(ISERROR(RU28/AB28),0,X28/AB28)</f>
        <v>1.7260288028143389</v>
      </c>
      <c r="AN28" s="10">
        <f>IF(ISERROR(X28/AB28),0,(X28+AD28)/AB28)</f>
        <v>2.0165228712091441</v>
      </c>
      <c r="AO28" s="107">
        <f>IF($B$2="Original",IF($AI28=0,"-",(VLOOKUP(Y28,'APP 2885'!$B$10:$G$54,4)*$R28)/($X28+$AD28)),IF($AI28=0,"-",(VLOOKUP(AA28,'APP 2885'!$B$10:$G$54,4)*$R28)/($X28+$AD28)))</f>
        <v>0.56484800563079263</v>
      </c>
    </row>
    <row r="29" spans="3:41" ht="20.100000000000001" customHeight="1" thickBot="1" x14ac:dyDescent="0.3">
      <c r="C29" s="119">
        <v>11</v>
      </c>
      <c r="D29" s="55" t="str">
        <f>E29&amp;"_"&amp;F29&amp;"_"&amp;G29</f>
        <v>Duct Insulation_Zone 1_Post R ? 8, prior condition must not exceed R-0</v>
      </c>
      <c r="E29" s="11" t="s">
        <v>39</v>
      </c>
      <c r="F29" s="11" t="s">
        <v>21</v>
      </c>
      <c r="G29" s="11" t="s">
        <v>40</v>
      </c>
      <c r="H29" s="11" t="str">
        <f>G29</f>
        <v>Post R ? 8, prior condition must not exceed R-0</v>
      </c>
      <c r="I29" s="12">
        <v>68</v>
      </c>
      <c r="J29" s="12">
        <v>68</v>
      </c>
      <c r="K29" s="12">
        <f>IF($B$2="Original",9888.5,'Res Measure Mapping'!$F$90)</f>
        <v>186.1479950812853</v>
      </c>
      <c r="L29" s="12">
        <f>(R29/Q29)</f>
        <v>7862.9065385001031</v>
      </c>
      <c r="M29" s="132">
        <v>3.1804585165933143E-3</v>
      </c>
      <c r="N29" s="71">
        <v>6.3E-2</v>
      </c>
      <c r="O29" s="73">
        <f>IF(INDEX('Res Measure Mapping'!$R:$R,MATCH($D29,'Res Measure Mapping'!$B:$B,0))="N/A",N29,INDEX('Res Measure Mapping'!$R:$R,MATCH($D29,'Res Measure Mapping'!$B:$B,0)))</f>
        <v>0.17361189969618615</v>
      </c>
      <c r="P29" s="73" t="str">
        <f>INDEX('Res Measure Mapping'!$S:$S,MATCH($D29,'Res Measure Mapping'!$B:$B,0))</f>
        <v>linear duct ft</v>
      </c>
      <c r="Q29" s="71">
        <f>O29</f>
        <v>0.17361189969618615</v>
      </c>
      <c r="R29" s="136">
        <f>M29*$R$92</f>
        <v>1365.0941412825662</v>
      </c>
      <c r="S29" s="13">
        <v>0.61</v>
      </c>
      <c r="T29" s="77">
        <f>IF(INDEX('Res Measure Mapping'!$T:$T,MATCH($D29,'Res Measure Mapping'!$B:$B,0))="N/A",S29,INDEX('Res Measure Mapping'!$T:$T,MATCH($D29,'Res Measure Mapping'!$B:$B,0)))</f>
        <v>2.46</v>
      </c>
      <c r="U29" s="13">
        <f>T29</f>
        <v>2.46</v>
      </c>
      <c r="V29" s="13">
        <f>IF($B$2="Original",PV($F$96,$Y29,(-0.05*0.95*$N29)),PV($F$96,$AA29,(-0.05*0.95*$Q29)))</f>
        <v>0.18867318803064015</v>
      </c>
      <c r="W29" s="13">
        <f>IF($B$2="Original",IF(ISNUMBER(S29),S29*L29,""),IF(ISNUMBER(U29),U29*L29,""))</f>
        <v>19342.750084710253</v>
      </c>
      <c r="X29" s="14">
        <f>W29-L29*(V29)</f>
        <v>17859.230440904474</v>
      </c>
      <c r="Y29" s="12">
        <v>30</v>
      </c>
      <c r="Z29" s="73">
        <f>IF(INDEX('Res Measure Mapping'!$U:$U,MATCH($D29,'Res Measure Mapping'!$B:$B,0))="N/A",Y29,INDEX('Res Measure Mapping'!$U:$U,MATCH($D29,'Res Measure Mapping'!$B:$B,0)))</f>
        <v>45</v>
      </c>
      <c r="AA29" s="12">
        <f>Z29</f>
        <v>45</v>
      </c>
      <c r="AB29" s="12">
        <f>IF($B$2="Original",PV($F$96,$Y29,-$R29),PV($F$96,$AA29,-$R29))</f>
        <v>31231.992501174311</v>
      </c>
      <c r="AC29" s="12">
        <f>IF($B$2="Original",PV($F$96,$Y29,-$R29),PV($F$96,$AA29,-$R29))</f>
        <v>31231.992501174311</v>
      </c>
      <c r="AD29" s="15">
        <f>(R29/$R$92)*$AD$92</f>
        <v>4111.426431277926</v>
      </c>
      <c r="AE29" s="13">
        <v>0.5</v>
      </c>
      <c r="AF29" s="77">
        <f>ROUND(IF(INDEX('Res Measure Mapping'!$V:$V,MATCH($D29,'Res Measure Mapping'!$B:$B,0))="N/A",AE29,INDEX('Res Measure Mapping'!$V:$V,MATCH($D29,'Res Measure Mapping'!$B:$B,0))),0)</f>
        <v>1</v>
      </c>
      <c r="AG29" s="73" t="str">
        <f>INDEX('Res Measure Mapping'!$S:$S,MATCH($D29,'Res Measure Mapping'!$B:$B,0))</f>
        <v>linear duct ft</v>
      </c>
      <c r="AH29" s="13">
        <f>AF29</f>
        <v>1</v>
      </c>
      <c r="AI29" s="13">
        <f>IF($B$2="Original",IF(ISNUMBER(AE29),AE29*L29,""),IF(ISNUMBER(AH29),AH29*L29,""))</f>
        <v>7862.9065385001031</v>
      </c>
      <c r="AJ29" s="16">
        <f>IF(ISERROR(AI29/AC29),0,AI29/AC29)</f>
        <v>0.25175808229988722</v>
      </c>
      <c r="AK29" s="16">
        <f>IF(ISERROR((AD29+AI29)/AC29),0,(AD29+AI29)/AC29)</f>
        <v>0.38339958519546258</v>
      </c>
      <c r="AL29" s="82">
        <f>IF($B$2="Original",IF($AI29=0,"-",(VLOOKUP(Y29,'APP 2885'!$B$10:$G$54,6)*$R29)/($AI29+$AD29)),IF($AI29=0,"-",(VLOOKUP(AA29,'APP 2885'!$B$10:$G$54,6)*$R29)/($AI29+$AD29)))</f>
        <v>6.984499220783742</v>
      </c>
      <c r="AM29" s="17">
        <f>IF(ISERROR(RU29/AB29),0,X29/AB29)</f>
        <v>0.57182488245772256</v>
      </c>
      <c r="AN29" s="18">
        <f>IF(ISERROR(X29/AB29),0,(X29+AD29)/AB29)</f>
        <v>0.70346638535329797</v>
      </c>
      <c r="AO29" s="108">
        <f>IF($B$2="Original",IF($AI29=0,"-",(VLOOKUP(Y29,'APP 2885'!$B$10:$G$54,4)*$R29)/($X29+$AD29)),IF($AI29=0,"-",(VLOOKUP(AA29,'APP 2885'!$B$10:$G$54,4)*$R29)/($X29+$AD29)))</f>
        <v>3.4605958046422494</v>
      </c>
    </row>
    <row r="30" spans="3:41" ht="20.100000000000001" customHeight="1" thickBot="1" x14ac:dyDescent="0.3">
      <c r="C30" s="119">
        <v>11</v>
      </c>
      <c r="D30" s="55" t="str">
        <f>E30&amp;"_"&amp;F30&amp;"_"&amp;G30</f>
        <v>Duct Insulation_Zone 2_Post R ? 8, prior condition must not exceed R-0</v>
      </c>
      <c r="E30" s="3" t="s">
        <v>39</v>
      </c>
      <c r="F30" s="3" t="s">
        <v>23</v>
      </c>
      <c r="G30" s="3" t="s">
        <v>40</v>
      </c>
      <c r="H30" s="3" t="str">
        <f>G30</f>
        <v>Post R ? 8, prior condition must not exceed R-0</v>
      </c>
      <c r="I30" s="4">
        <v>29</v>
      </c>
      <c r="J30" s="4">
        <v>29</v>
      </c>
      <c r="K30" s="4">
        <f>IF($B$2="Original",3694,'Res Measure Mapping'!$H$90)</f>
        <v>179.75161308693163</v>
      </c>
      <c r="L30" s="4">
        <f>(R30/Q30)</f>
        <v>3791.9183887001223</v>
      </c>
      <c r="M30" s="131">
        <v>1.5337889461762096E-3</v>
      </c>
      <c r="N30" s="70">
        <v>6.3E-2</v>
      </c>
      <c r="O30" s="70">
        <f>IF(INDEX('Res Measure Mapping'!$R:$R,MATCH($D30,'Res Measure Mapping'!$B:$B,0))="N/A",N30,INDEX('Res Measure Mapping'!$R:$R,MATCH($D30,'Res Measure Mapping'!$B:$B,0)))</f>
        <v>0.17361189969618615</v>
      </c>
      <c r="P30" s="70" t="str">
        <f>INDEX('Res Measure Mapping'!$S:$S,MATCH($D30,'Res Measure Mapping'!$B:$B,0))</f>
        <v>linear duct ft</v>
      </c>
      <c r="Q30" s="70">
        <f>O30</f>
        <v>0.17361189969618615</v>
      </c>
      <c r="R30" s="135">
        <f>M30*$R$92</f>
        <v>658.32215495512946</v>
      </c>
      <c r="S30" s="5">
        <v>0.61</v>
      </c>
      <c r="T30" s="76">
        <f>IF(INDEX('Res Measure Mapping'!$T:$T,MATCH($D30,'Res Measure Mapping'!$B:$B,0))="N/A",S30,INDEX('Res Measure Mapping'!$T:$T,MATCH($D30,'Res Measure Mapping'!$B:$B,0)))</f>
        <v>2.46</v>
      </c>
      <c r="U30" s="5">
        <f>T30</f>
        <v>2.46</v>
      </c>
      <c r="V30" s="5">
        <f>IF($B$2="Original",PV($F$96,$Y30,(-0.05*0.95*$N30)),PV($F$96,$AA30,(-0.05*0.95*$Q30)))</f>
        <v>0.18867318803064015</v>
      </c>
      <c r="W30" s="5">
        <f>IF($B$2="Original",IF(ISNUMBER(S30),S30*L30,""),IF(ISNUMBER(U30),U30*L30,""))</f>
        <v>9328.1192362023012</v>
      </c>
      <c r="X30" s="6">
        <f>W30-L30*(V30)</f>
        <v>8612.6859050542407</v>
      </c>
      <c r="Y30" s="4">
        <v>30</v>
      </c>
      <c r="Z30" s="70">
        <f>IF(INDEX('Res Measure Mapping'!$U:$U,MATCH($D30,'Res Measure Mapping'!$B:$B,0))="N/A",Y30,INDEX('Res Measure Mapping'!$U:$U,MATCH($D30,'Res Measure Mapping'!$B:$B,0)))</f>
        <v>45</v>
      </c>
      <c r="AA30" s="4">
        <f>Z30</f>
        <v>45</v>
      </c>
      <c r="AB30" s="4">
        <f>IF($B$2="Original",PV($F$96,$Y30,-$R30),PV($F$96,$AA30,-$R30))</f>
        <v>15061.754339959161</v>
      </c>
      <c r="AC30" s="4">
        <f>IF($B$2="Original",PV($F$96,$Y30,-$R30),PV($F$96,$AA30,-$R30))</f>
        <v>15061.754339959161</v>
      </c>
      <c r="AD30" s="7">
        <f>(R30/$R$92)*$AD$92</f>
        <v>1982.7519775561786</v>
      </c>
      <c r="AE30" s="5">
        <v>0.5</v>
      </c>
      <c r="AF30" s="76">
        <f>ROUND(IF(INDEX('Res Measure Mapping'!$V:$V,MATCH($D30,'Res Measure Mapping'!$B:$B,0))="N/A",AE30,INDEX('Res Measure Mapping'!$V:$V,MATCH($D30,'Res Measure Mapping'!$B:$B,0))),0)</f>
        <v>1</v>
      </c>
      <c r="AG30" s="70" t="str">
        <f>INDEX('Res Measure Mapping'!$S:$S,MATCH($D30,'Res Measure Mapping'!$B:$B,0))</f>
        <v>linear duct ft</v>
      </c>
      <c r="AH30" s="5">
        <f>AF30</f>
        <v>1</v>
      </c>
      <c r="AI30" s="5">
        <f>IF($B$2="Original",IF(ISNUMBER(AE30),AE30*L30,""),IF(ISNUMBER(AH30),AH30*L30,""))</f>
        <v>3791.9183887001223</v>
      </c>
      <c r="AJ30" s="8">
        <f>IF(ISERROR(AI30/AC30),0,AI30/AC30)</f>
        <v>0.25175808229988722</v>
      </c>
      <c r="AK30" s="8">
        <f>IF(ISERROR((AD30+AI30)/AC30),0,(AD30+AI30)/AC30)</f>
        <v>0.38339958519546263</v>
      </c>
      <c r="AL30" s="81">
        <f>IF($B$2="Original",IF($AI30=0,"-",(VLOOKUP(Y30,'APP 2885'!$B$10:$G$54,6)*$R30)/($AI30+$AD30)),IF($AI30=0,"-",(VLOOKUP(AA30,'APP 2885'!$B$10:$G$54,6)*$R30)/($AI30+$AD30)))</f>
        <v>6.984499220783742</v>
      </c>
      <c r="AM30" s="9">
        <f>IF(ISERROR(RU30/AB30),0,X30/AB30)</f>
        <v>0.57182488245772256</v>
      </c>
      <c r="AN30" s="10">
        <f>IF(ISERROR(X30/AB30),0,(X30+AD30)/AB30)</f>
        <v>0.70346638535329786</v>
      </c>
      <c r="AO30" s="107">
        <f>IF($B$2="Original",IF($AI30=0,"-",(VLOOKUP(Y30,'APP 2885'!$B$10:$G$54,4)*$R30)/($X30+$AD30)),IF($AI30=0,"-",(VLOOKUP(AA30,'APP 2885'!$B$10:$G$54,4)*$R30)/($X30+$AD30)))</f>
        <v>3.4605958046422498</v>
      </c>
    </row>
    <row r="31" spans="3:41" ht="20.100000000000001" customHeight="1" thickBot="1" x14ac:dyDescent="0.3">
      <c r="C31" s="119">
        <v>11</v>
      </c>
      <c r="D31" s="55" t="str">
        <f>E31&amp;"_"&amp;F31&amp;"_"&amp;G31</f>
        <v>Duct Insulation_Zone 3_Post R ? 8, prior condition must not exceed R-0</v>
      </c>
      <c r="E31" s="11" t="s">
        <v>39</v>
      </c>
      <c r="F31" s="11" t="s">
        <v>24</v>
      </c>
      <c r="G31" s="11" t="s">
        <v>40</v>
      </c>
      <c r="H31" s="11" t="str">
        <f>G31</f>
        <v>Post R ? 8, prior condition must not exceed R-0</v>
      </c>
      <c r="I31" s="12">
        <v>11</v>
      </c>
      <c r="J31" s="12">
        <v>11</v>
      </c>
      <c r="K31" s="12">
        <f>IF($B$2="Original",2900,'Res Measure Mapping'!$J$90)</f>
        <v>198.58977323703803</v>
      </c>
      <c r="L31" s="12">
        <f>(R31/Q31)</f>
        <v>6990.3288341606112</v>
      </c>
      <c r="M31" s="132">
        <v>2.8275105096994962E-3</v>
      </c>
      <c r="N31" s="71">
        <v>6.3E-2</v>
      </c>
      <c r="O31" s="73">
        <f>IF(INDEX('Res Measure Mapping'!$R:$R,MATCH($D31,'Res Measure Mapping'!$B:$B,0))="N/A",N31,INDEX('Res Measure Mapping'!$R:$R,MATCH($D31,'Res Measure Mapping'!$B:$B,0)))</f>
        <v>0.17361189969618615</v>
      </c>
      <c r="P31" s="73" t="str">
        <f>INDEX('Res Measure Mapping'!$S:$S,MATCH($D31,'Res Measure Mapping'!$B:$B,0))</f>
        <v>linear duct ft</v>
      </c>
      <c r="Q31" s="71">
        <f>O31</f>
        <v>0.17361189969618615</v>
      </c>
      <c r="R31" s="136">
        <f>M31*$R$92</f>
        <v>1213.60426839965</v>
      </c>
      <c r="S31" s="13">
        <v>0.61</v>
      </c>
      <c r="T31" s="77">
        <f>IF(INDEX('Res Measure Mapping'!$T:$T,MATCH($D31,'Res Measure Mapping'!$B:$B,0))="N/A",S31,INDEX('Res Measure Mapping'!$T:$T,MATCH($D31,'Res Measure Mapping'!$B:$B,0)))</f>
        <v>2.46</v>
      </c>
      <c r="U31" s="13">
        <f>T31</f>
        <v>2.46</v>
      </c>
      <c r="V31" s="13">
        <f>IF($B$2="Original",PV($F$96,$Y31,(-0.05*0.95*$N31)),PV($F$96,$AA31,(-0.05*0.95*$Q31)))</f>
        <v>0.18867318803064015</v>
      </c>
      <c r="W31" s="13">
        <f>IF($B$2="Original",IF(ISNUMBER(S31),S31*L31,""),IF(ISNUMBER(U31),U31*L31,""))</f>
        <v>17196.208932035104</v>
      </c>
      <c r="X31" s="14">
        <f>W31-L31*(V31)</f>
        <v>15877.321305511514</v>
      </c>
      <c r="Y31" s="12">
        <v>30</v>
      </c>
      <c r="Z31" s="73">
        <f>IF(INDEX('Res Measure Mapping'!$U:$U,MATCH($D31,'Res Measure Mapping'!$B:$B,0))="N/A",Y31,INDEX('Res Measure Mapping'!$U:$U,MATCH($D31,'Res Measure Mapping'!$B:$B,0)))</f>
        <v>45</v>
      </c>
      <c r="AA31" s="12">
        <f>Z31</f>
        <v>45</v>
      </c>
      <c r="AB31" s="12">
        <f>IF($B$2="Original",PV($F$96,$Y31,-$R31),PV($F$96,$AA31,-$R31))</f>
        <v>27766.055295233484</v>
      </c>
      <c r="AC31" s="12">
        <f>IF($B$2="Original",PV($F$96,$Y31,-$R31),PV($F$96,$AA31,-$R31))</f>
        <v>27766.055295233484</v>
      </c>
      <c r="AD31" s="15">
        <f>(R31/$R$92)*$AD$92</f>
        <v>3655.165248546185</v>
      </c>
      <c r="AE31" s="13">
        <v>0.5</v>
      </c>
      <c r="AF31" s="77">
        <f>ROUND(IF(INDEX('Res Measure Mapping'!$V:$V,MATCH($D31,'Res Measure Mapping'!$B:$B,0))="N/A",AE31,INDEX('Res Measure Mapping'!$V:$V,MATCH($D31,'Res Measure Mapping'!$B:$B,0))),0)</f>
        <v>1</v>
      </c>
      <c r="AG31" s="73" t="str">
        <f>INDEX('Res Measure Mapping'!$S:$S,MATCH($D31,'Res Measure Mapping'!$B:$B,0))</f>
        <v>linear duct ft</v>
      </c>
      <c r="AH31" s="13">
        <f>AF31</f>
        <v>1</v>
      </c>
      <c r="AI31" s="13">
        <f>IF($B$2="Original",IF(ISNUMBER(AE31),AE31*L31,""),IF(ISNUMBER(AH31),AH31*L31,""))</f>
        <v>6990.3288341606112</v>
      </c>
      <c r="AJ31" s="16">
        <f>IF(ISERROR(AI31/AC31),0,AI31/AC31)</f>
        <v>0.25175808229988722</v>
      </c>
      <c r="AK31" s="16">
        <f>IF(ISERROR((AD31+AI31)/AC31),0,(AD31+AI31)/AC31)</f>
        <v>0.38339958519546263</v>
      </c>
      <c r="AL31" s="82">
        <f>IF($B$2="Original",IF($AI31=0,"-",(VLOOKUP(Y31,'APP 2885'!$B$10:$G$54,6)*$R31)/($AI31+$AD31)),IF($AI31=0,"-",(VLOOKUP(AA31,'APP 2885'!$B$10:$G$54,6)*$R31)/($AI31+$AD31)))</f>
        <v>6.9844992207837411</v>
      </c>
      <c r="AM31" s="17">
        <f>IF(ISERROR(RU31/AB31),0,X31/AB31)</f>
        <v>0.57182488245772267</v>
      </c>
      <c r="AN31" s="18">
        <f>IF(ISERROR(X31/AB31),0,(X31+AD31)/AB31)</f>
        <v>0.70346638535329797</v>
      </c>
      <c r="AO31" s="108">
        <f>IF($B$2="Original",IF($AI31=0,"-",(VLOOKUP(Y31,'APP 2885'!$B$10:$G$54,4)*$R31)/($X31+$AD31)),IF($AI31=0,"-",(VLOOKUP(AA31,'APP 2885'!$B$10:$G$54,4)*$R31)/($X31+$AD31)))</f>
        <v>3.4605958046422494</v>
      </c>
    </row>
    <row r="32" spans="3:41" ht="20.100000000000001" customHeight="1" thickBot="1" x14ac:dyDescent="0.3">
      <c r="C32" s="119">
        <v>10</v>
      </c>
      <c r="D32" s="55" t="str">
        <f>E32&amp;"_"&amp;F32&amp;"_"&amp;G32</f>
        <v>Duct Sealing_Zone 1_30% or more of supply ducts in unconditioned space</v>
      </c>
      <c r="E32" s="3" t="s">
        <v>41</v>
      </c>
      <c r="F32" s="3" t="s">
        <v>21</v>
      </c>
      <c r="G32" s="3" t="s">
        <v>42</v>
      </c>
      <c r="H32" s="3" t="str">
        <f>G32</f>
        <v>30% or more of supply ducts in unconditioned space</v>
      </c>
      <c r="I32" s="4">
        <v>90</v>
      </c>
      <c r="J32" s="4">
        <v>90</v>
      </c>
      <c r="K32" s="4"/>
      <c r="L32" s="4">
        <f>(R32/Q32)</f>
        <v>44.299260103793593</v>
      </c>
      <c r="M32" s="131">
        <v>7.0846578531213299E-3</v>
      </c>
      <c r="N32" s="70">
        <v>27.72</v>
      </c>
      <c r="O32" s="70">
        <f>IF(INDEX('Res Measure Mapping'!$R:$R,MATCH($D32,'Res Measure Mapping'!$B:$B,0))="N/A",N32,INDEX('Res Measure Mapping'!$R:$R,MATCH($D32,'Res Measure Mapping'!$B:$B,0)))</f>
        <v>68.642845139785123</v>
      </c>
      <c r="P32" s="70" t="str">
        <f>INDEX('Res Measure Mapping'!$S:$S,MATCH($D32,'Res Measure Mapping'!$B:$B,0))</f>
        <v>household</v>
      </c>
      <c r="Q32" s="70">
        <f>O32</f>
        <v>68.642845139785123</v>
      </c>
      <c r="R32" s="135">
        <f>M32*$R$92</f>
        <v>3040.8272511117652</v>
      </c>
      <c r="S32" s="5">
        <v>793.95</v>
      </c>
      <c r="T32" s="76">
        <f>IF(INDEX('Res Measure Mapping'!$T:$T,MATCH($D32,'Res Measure Mapping'!$B:$B,0))="N/A",S32,INDEX('Res Measure Mapping'!$T:$T,MATCH($D32,'Res Measure Mapping'!$B:$B,0)))</f>
        <v>793.95000000000016</v>
      </c>
      <c r="U32" s="5">
        <f>S32</f>
        <v>793.95</v>
      </c>
      <c r="V32" s="5">
        <f>IF($B$2="Original",PV($F$96,$Y32,(-0.05*0.95*$N32)),PV($F$96,$AA32,(-0.05*0.95*$Q32)))</f>
        <v>46.762160995119132</v>
      </c>
      <c r="W32" s="5">
        <f>IF($B$2="Original",IF(ISNUMBER(S32),S32*L32,""),IF(ISNUMBER(U32),U32*L32,""))</f>
        <v>35171.397559406927</v>
      </c>
      <c r="X32" s="6">
        <f>W32-L32*(V32)</f>
        <v>33099.868426468674</v>
      </c>
      <c r="Y32" s="4">
        <v>30</v>
      </c>
      <c r="Z32" s="70">
        <f>IF(INDEX('Res Measure Mapping'!$U:$U,MATCH($D32,'Res Measure Mapping'!$B:$B,0))="N/A",Y32,INDEX('Res Measure Mapping'!$U:$U,MATCH($D32,'Res Measure Mapping'!$B:$B,0)))</f>
        <v>20</v>
      </c>
      <c r="AA32" s="4">
        <f>Z32</f>
        <v>20</v>
      </c>
      <c r="AB32" s="4">
        <f>IF($B$2="Original",PV($F$96,$Y32,-$R32),PV($F$96,$AA32,-$R32))</f>
        <v>43611.139640805348</v>
      </c>
      <c r="AC32" s="4">
        <f>IF($B$2="Original",PV($F$96,$Y32,-$R32),PV($F$96,$AA32,-$R32))</f>
        <v>43611.139640805348</v>
      </c>
      <c r="AD32" s="7">
        <f>(R32/$R$92)*$AD$92</f>
        <v>9158.4434765977403</v>
      </c>
      <c r="AE32" s="5">
        <v>150</v>
      </c>
      <c r="AF32" s="76">
        <f>ROUND(IF(INDEX('Res Measure Mapping'!$V:$V,MATCH($D32,'Res Measure Mapping'!$B:$B,0))="N/A",AE32,INDEX('Res Measure Mapping'!$V:$V,MATCH($D32,'Res Measure Mapping'!$B:$B,0))),0)</f>
        <v>150</v>
      </c>
      <c r="AG32" s="70" t="str">
        <f>INDEX('Res Measure Mapping'!$S:$S,MATCH($D32,'Res Measure Mapping'!$B:$B,0))</f>
        <v>household</v>
      </c>
      <c r="AH32" s="5">
        <f>AE32</f>
        <v>150</v>
      </c>
      <c r="AI32" s="5">
        <f>IF($B$2="Original",IF(ISNUMBER(AE32),AE32*L32,""),IF(ISNUMBER(AH32),AH32*L32,""))</f>
        <v>6644.8890155690387</v>
      </c>
      <c r="AJ32" s="8">
        <f>IF(ISERROR(AI32/AC32),0,AI32/AC32)</f>
        <v>0.15236678220973751</v>
      </c>
      <c r="AK32" s="8">
        <f>IF(ISERROR((AD32+AI32)/AC32),0,(AD32+AI32)/AC32)</f>
        <v>0.36236917040755751</v>
      </c>
      <c r="AL32" s="81">
        <f>IF($B$2="Original",IF($AI32=0,"-",(VLOOKUP(Y32,'APP 2885'!$B$10:$G$54,6)*$R32)/($AI32+$AD32)),IF($AI32=0,"-",(VLOOKUP(AA32,'APP 2885'!$B$10:$G$54,6)*$R32)/($AI32+$AD32)))</f>
        <v>4.0677007019978522</v>
      </c>
      <c r="AM32" s="9">
        <f>IF(ISERROR(RU32/AB32),0,X32/AB32)</f>
        <v>0.75897737823614075</v>
      </c>
      <c r="AN32" s="10">
        <f>IF(ISERROR(X32/AB32),0,(X32+AD32)/AB32)</f>
        <v>0.96897976643396089</v>
      </c>
      <c r="AO32" s="107">
        <f>IF($B$2="Original",IF($AI32=0,"-",(VLOOKUP(Y32,'APP 2885'!$B$10:$G$54,4)*$R32)/($X32+$AD32)),IF($AI32=0,"-",(VLOOKUP(AA32,'APP 2885'!$B$10:$G$54,4)*$R32)/($X32+$AD32)))</f>
        <v>1.382906565431701</v>
      </c>
    </row>
    <row r="33" spans="3:41" ht="20.100000000000001" customHeight="1" thickBot="1" x14ac:dyDescent="0.3">
      <c r="C33" s="119">
        <v>10</v>
      </c>
      <c r="D33" s="55" t="str">
        <f>E33&amp;"_"&amp;F33&amp;"_"&amp;G33</f>
        <v>Duct Sealing_Zone 2_30% or more of supply ducts in unconditioned space</v>
      </c>
      <c r="E33" s="11" t="s">
        <v>41</v>
      </c>
      <c r="F33" s="11" t="s">
        <v>23</v>
      </c>
      <c r="G33" s="11" t="s">
        <v>42</v>
      </c>
      <c r="H33" s="11" t="str">
        <f>G33</f>
        <v>30% or more of supply ducts in unconditioned space</v>
      </c>
      <c r="I33" s="12">
        <v>18</v>
      </c>
      <c r="J33" s="12">
        <v>18</v>
      </c>
      <c r="K33" s="12"/>
      <c r="L33" s="12">
        <f>(R33/Q33)</f>
        <v>22.104193420054433</v>
      </c>
      <c r="M33" s="132">
        <v>3.5641348772723729E-3</v>
      </c>
      <c r="N33" s="71">
        <v>28</v>
      </c>
      <c r="O33" s="73">
        <f>IF(INDEX('Res Measure Mapping'!$R:$R,MATCH($D33,'Res Measure Mapping'!$B:$B,0))="N/A",N33,INDEX('Res Measure Mapping'!$R:$R,MATCH($D33,'Res Measure Mapping'!$B:$B,0)))</f>
        <v>69.207366856046079</v>
      </c>
      <c r="P33" s="73" t="str">
        <f>INDEX('Res Measure Mapping'!$S:$S,MATCH($D33,'Res Measure Mapping'!$B:$B,0))</f>
        <v>household</v>
      </c>
      <c r="Q33" s="71">
        <f>O33</f>
        <v>69.207366856046079</v>
      </c>
      <c r="R33" s="136">
        <f>M33*$R$92</f>
        <v>1529.773023078707</v>
      </c>
      <c r="S33" s="13">
        <v>793.95</v>
      </c>
      <c r="T33" s="77">
        <f>IF(INDEX('Res Measure Mapping'!$T:$T,MATCH($D33,'Res Measure Mapping'!$B:$B,0))="N/A",S33,INDEX('Res Measure Mapping'!$T:$T,MATCH($D33,'Res Measure Mapping'!$B:$B,0)))</f>
        <v>793.95000000000016</v>
      </c>
      <c r="U33" s="13">
        <f>S33</f>
        <v>793.95</v>
      </c>
      <c r="V33" s="13">
        <f>IF($B$2="Original",PV($F$96,$Y33,(-0.05*0.95*$N33)),PV($F$96,$AA33,(-0.05*0.95*$Q33)))</f>
        <v>47.14673502213212</v>
      </c>
      <c r="W33" s="13">
        <f>IF($B$2="Original",IF(ISNUMBER(S33),S33*L33,""),IF(ISNUMBER(U33),U33*L33,""))</f>
        <v>17549.624365852218</v>
      </c>
      <c r="X33" s="14">
        <f>W33-L33*(V33)</f>
        <v>16507.483815798954</v>
      </c>
      <c r="Y33" s="12">
        <v>30</v>
      </c>
      <c r="Z33" s="73">
        <f>IF(INDEX('Res Measure Mapping'!$U:$U,MATCH($D33,'Res Measure Mapping'!$B:$B,0))="N/A",Y33,INDEX('Res Measure Mapping'!$U:$U,MATCH($D33,'Res Measure Mapping'!$B:$B,0)))</f>
        <v>20</v>
      </c>
      <c r="AA33" s="12">
        <f>Z33</f>
        <v>20</v>
      </c>
      <c r="AB33" s="12">
        <f>IF($B$2="Original",PV($F$96,$Y33,-$R33),PV($F$96,$AA33,-$R33))</f>
        <v>21939.801053752893</v>
      </c>
      <c r="AC33" s="12">
        <f>IF($B$2="Original",PV($F$96,$Y33,-$R33),PV($F$96,$AA33,-$R33))</f>
        <v>21939.801053752893</v>
      </c>
      <c r="AD33" s="15">
        <f>(R33/$R$92)*$AD$92</f>
        <v>4607.4106178731554</v>
      </c>
      <c r="AE33" s="13">
        <v>150</v>
      </c>
      <c r="AF33" s="77">
        <f>ROUND(IF(INDEX('Res Measure Mapping'!$V:$V,MATCH($D33,'Res Measure Mapping'!$B:$B,0))="N/A",AE33,INDEX('Res Measure Mapping'!$V:$V,MATCH($D33,'Res Measure Mapping'!$B:$B,0))),0)</f>
        <v>150</v>
      </c>
      <c r="AG33" s="73" t="str">
        <f>INDEX('Res Measure Mapping'!$S:$S,MATCH($D33,'Res Measure Mapping'!$B:$B,0))</f>
        <v>household</v>
      </c>
      <c r="AH33" s="13">
        <f>AE33</f>
        <v>150</v>
      </c>
      <c r="AI33" s="13">
        <f>IF($B$2="Original",IF(ISNUMBER(AE33),AE33*L33,""),IF(ISNUMBER(AH33),AH33*L33,""))</f>
        <v>3315.6290130081647</v>
      </c>
      <c r="AJ33" s="16">
        <f>IF(ISERROR(AI33/AC33),0,AI33/AC33)</f>
        <v>0.15112393247709111</v>
      </c>
      <c r="AK33" s="16">
        <f>IF(ISERROR((AD33+AI33)/AC33),0,(AD33+AI33)/AC33)</f>
        <v>0.36112632067491107</v>
      </c>
      <c r="AL33" s="82">
        <f>IF($B$2="Original",IF($AI33=0,"-",(VLOOKUP(Y33,'APP 2885'!$B$10:$G$54,6)*$R33)/($AI33+$AD33)),IF($AI33=0,"-",(VLOOKUP(AA33,'APP 2885'!$B$10:$G$54,6)*$R33)/($AI33+$AD33)))</f>
        <v>4.0817000713058427</v>
      </c>
      <c r="AM33" s="17">
        <f>IF(ISERROR(RU33/AB33),0,X33/AB33)</f>
        <v>0.75239897460124328</v>
      </c>
      <c r="AN33" s="18">
        <f>IF(ISERROR(X33/AB33),0,(X33+AD33)/AB33)</f>
        <v>0.9624013627990633</v>
      </c>
      <c r="AO33" s="108">
        <f>IF($B$2="Original",IF($AI33=0,"-",(VLOOKUP(Y33,'APP 2885'!$B$10:$G$54,4)*$R33)/($X33+$AD33)),IF($AI33=0,"-",(VLOOKUP(AA33,'APP 2885'!$B$10:$G$54,4)*$R33)/($X33+$AD33)))</f>
        <v>1.3923592926704709</v>
      </c>
    </row>
    <row r="34" spans="3:41" ht="20.100000000000001" customHeight="1" thickBot="1" x14ac:dyDescent="0.3">
      <c r="C34" s="119">
        <v>10</v>
      </c>
      <c r="D34" s="55" t="str">
        <f>E34&amp;"_"&amp;F34&amp;"_"&amp;G34</f>
        <v>Duct Sealing_Zone 3_30% or more of supply ducts in unconditioned space</v>
      </c>
      <c r="E34" s="3" t="s">
        <v>41</v>
      </c>
      <c r="F34" s="3" t="s">
        <v>24</v>
      </c>
      <c r="G34" s="3" t="s">
        <v>42</v>
      </c>
      <c r="H34" s="3" t="str">
        <f>G34</f>
        <v>30% or more of supply ducts in unconditioned space</v>
      </c>
      <c r="I34" s="4">
        <v>16</v>
      </c>
      <c r="J34" s="4">
        <v>16</v>
      </c>
      <c r="K34" s="4"/>
      <c r="L34" s="4">
        <f>(R34/Q34)</f>
        <v>36.64242507577876</v>
      </c>
      <c r="M34" s="131">
        <v>5.1890321906643902E-3</v>
      </c>
      <c r="N34" s="70">
        <v>28</v>
      </c>
      <c r="O34" s="70">
        <f>IF(INDEX('Res Measure Mapping'!$R:$R,MATCH($D34,'Res Measure Mapping'!$B:$B,0))="N/A",N34,INDEX('Res Measure Mapping'!$R:$R,MATCH($D34,'Res Measure Mapping'!$B:$B,0)))</f>
        <v>60.782005258812696</v>
      </c>
      <c r="P34" s="70" t="str">
        <f>INDEX('Res Measure Mapping'!$S:$S,MATCH($D34,'Res Measure Mapping'!$B:$B,0))</f>
        <v>household</v>
      </c>
      <c r="Q34" s="70">
        <f>O34</f>
        <v>60.782005258812696</v>
      </c>
      <c r="R34" s="135">
        <f>M34*$R$92</f>
        <v>2227.2000736516347</v>
      </c>
      <c r="S34" s="5">
        <v>793.95</v>
      </c>
      <c r="T34" s="76">
        <f>IF(INDEX('Res Measure Mapping'!$T:$T,MATCH($D34,'Res Measure Mapping'!$B:$B,0))="N/A",S34,INDEX('Res Measure Mapping'!$T:$T,MATCH($D34,'Res Measure Mapping'!$B:$B,0)))</f>
        <v>793.95000000000016</v>
      </c>
      <c r="U34" s="5">
        <f>S34</f>
        <v>793.95</v>
      </c>
      <c r="V34" s="5">
        <f>IF($B$2="Original",PV($F$96,$Y34,(-0.05*0.95*$N34)),PV($F$96,$AA34,(-0.05*0.95*$Q34)))</f>
        <v>41.40705283603392</v>
      </c>
      <c r="W34" s="5">
        <f>IF($B$2="Original",IF(ISNUMBER(S34),S34*L34,""),IF(ISNUMBER(U34),U34*L34,""))</f>
        <v>29092.253388914549</v>
      </c>
      <c r="X34" s="6">
        <f>W34-L34*(V34)</f>
        <v>27574.998557761362</v>
      </c>
      <c r="Y34" s="4">
        <v>30</v>
      </c>
      <c r="Z34" s="70">
        <f>IF(INDEX('Res Measure Mapping'!$U:$U,MATCH($D34,'Res Measure Mapping'!$B:$B,0))="N/A",Y34,INDEX('Res Measure Mapping'!$U:$U,MATCH($D34,'Res Measure Mapping'!$B:$B,0)))</f>
        <v>20</v>
      </c>
      <c r="AA34" s="4">
        <f>Z34</f>
        <v>20</v>
      </c>
      <c r="AB34" s="4">
        <f>IF($B$2="Original",PV($F$96,$Y34,-$R34),PV($F$96,$AA34,-$R34))</f>
        <v>31942.206971646006</v>
      </c>
      <c r="AC34" s="4">
        <f>IF($B$2="Original",PV($F$96,$Y34,-$R34),PV($F$96,$AA34,-$R34))</f>
        <v>31942.206971646006</v>
      </c>
      <c r="AD34" s="7">
        <f>(R34/$R$92)*$AD$92</f>
        <v>6707.9397483547173</v>
      </c>
      <c r="AE34" s="5">
        <v>150</v>
      </c>
      <c r="AF34" s="76">
        <f>ROUND(IF(INDEX('Res Measure Mapping'!$V:$V,MATCH($D34,'Res Measure Mapping'!$B:$B,0))="N/A",AE34,INDEX('Res Measure Mapping'!$V:$V,MATCH($D34,'Res Measure Mapping'!$B:$B,0))),0)</f>
        <v>150</v>
      </c>
      <c r="AG34" s="70" t="str">
        <f>INDEX('Res Measure Mapping'!$S:$S,MATCH($D34,'Res Measure Mapping'!$B:$B,0))</f>
        <v>household</v>
      </c>
      <c r="AH34" s="5">
        <f>AE34</f>
        <v>150</v>
      </c>
      <c r="AI34" s="5">
        <f>IF($B$2="Original",IF(ISNUMBER(AE34),AE34*L34,""),IF(ISNUMBER(AH34),AH34*L34,""))</f>
        <v>5496.3637613668143</v>
      </c>
      <c r="AJ34" s="8">
        <f>IF(ISERROR(AI34/AC34),0,AI34/AC34)</f>
        <v>0.17207213534887386</v>
      </c>
      <c r="AK34" s="8">
        <f>IF(ISERROR((AD34+AI34)/AC34),0,(AD34+AI34)/AC34)</f>
        <v>0.38207452354669391</v>
      </c>
      <c r="AL34" s="81">
        <f>IF($B$2="Original",IF($AI34=0,"-",(VLOOKUP(Y34,'APP 2885'!$B$10:$G$54,6)*$R34)/($AI34+$AD34)),IF($AI34=0,"-",(VLOOKUP(AA34,'APP 2885'!$B$10:$G$54,6)*$R34)/($AI34+$AD34)))</f>
        <v>3.8579105331765464</v>
      </c>
      <c r="AM34" s="9">
        <f>IF(ISERROR(RU34/AB34),0,X34/AB34)</f>
        <v>0.86327781240158941</v>
      </c>
      <c r="AN34" s="10">
        <f>IF(ISERROR(X34/AB34),0,(X34+AD34)/AB34)</f>
        <v>1.0732802005994093</v>
      </c>
      <c r="AO34" s="107">
        <f>IF($B$2="Original",IF($AI34=0,"-",(VLOOKUP(Y34,'APP 2885'!$B$10:$G$54,4)*$R34)/($X34+$AD34)),IF($AI34=0,"-",(VLOOKUP(AA34,'APP 2885'!$B$10:$G$54,4)*$R34)/($X34+$AD34)))</f>
        <v>1.2485169110765559</v>
      </c>
    </row>
    <row r="35" spans="3:41" ht="20.100000000000001" customHeight="1" thickBot="1" x14ac:dyDescent="0.3">
      <c r="C35" s="119" t="s">
        <v>125</v>
      </c>
      <c r="D35" s="55" t="str">
        <f>E35&amp;"_"&amp;F35&amp;"_"&amp;G35</f>
        <v>Energy Savings Kit 1_Zone 1_One Low Flow Showerhead plus Aerators</v>
      </c>
      <c r="E35" s="11" t="s">
        <v>43</v>
      </c>
      <c r="F35" s="11" t="s">
        <v>21</v>
      </c>
      <c r="G35" s="11" t="s">
        <v>44</v>
      </c>
      <c r="H35" s="11" t="str">
        <f>G35</f>
        <v>One Low Flow Showerhead plus Aerators</v>
      </c>
      <c r="I35" s="12">
        <v>57</v>
      </c>
      <c r="J35" s="12">
        <v>57</v>
      </c>
      <c r="K35" s="12"/>
      <c r="L35" s="12">
        <f>(R35/Q35)</f>
        <v>0</v>
      </c>
      <c r="M35" s="132">
        <v>0</v>
      </c>
      <c r="N35" s="71">
        <v>17</v>
      </c>
      <c r="O35" s="73">
        <f>IF(INDEX('Res Measure Mapping'!$R:$R,MATCH($D35,'Res Measure Mapping'!$B:$B,0))="N/A",N35,INDEX('Res Measure Mapping'!$R:$R,MATCH($D35,'Res Measure Mapping'!$B:$B,0)))</f>
        <v>17</v>
      </c>
      <c r="P35" s="73" t="str">
        <f>INDEX('Res Measure Mapping'!$S:$S,MATCH($D35,'Res Measure Mapping'!$B:$B,0))</f>
        <v>N/A</v>
      </c>
      <c r="Q35" s="71">
        <f>N35</f>
        <v>17</v>
      </c>
      <c r="R35" s="136">
        <f>M35*$R$92</f>
        <v>0</v>
      </c>
      <c r="S35" s="13">
        <v>10</v>
      </c>
      <c r="T35" s="77" t="s">
        <v>125</v>
      </c>
      <c r="U35" s="13">
        <f>S35</f>
        <v>10</v>
      </c>
      <c r="V35" s="13">
        <f>IF(B2="Original",PV($F$96,$Y35,-8.6),PV($F$96,$AA35,-8.6))</f>
        <v>71.884665695689918</v>
      </c>
      <c r="W35" s="13">
        <f>IF($B$2="Original",IF(ISNUMBER(S35),S35*L35,""),IF(ISNUMBER(U35),U35*L35,""))</f>
        <v>0</v>
      </c>
      <c r="X35" s="14">
        <f>W35-L35*(V35)</f>
        <v>0</v>
      </c>
      <c r="Y35" s="12">
        <v>10</v>
      </c>
      <c r="Z35" s="73">
        <f>IF(INDEX('Res Measure Mapping'!$U:$U,MATCH($D35,'Res Measure Mapping'!$B:$B,0))="N/A",Y35,INDEX('Res Measure Mapping'!$U:$U,MATCH($D35,'Res Measure Mapping'!$B:$B,0)))</f>
        <v>10</v>
      </c>
      <c r="AA35" s="12">
        <f>Z35</f>
        <v>10</v>
      </c>
      <c r="AB35" s="12">
        <f>IF($B$2="Original",PV($F$96,$Y35,-$R35),PV($F$96,$AA35,-$R35))</f>
        <v>0</v>
      </c>
      <c r="AC35" s="12">
        <f>IF($B$2="Original",PV($F$96,$Y35,-$R35),PV($F$96,$AA35,-$R35))</f>
        <v>0</v>
      </c>
      <c r="AD35" s="15">
        <f>(R35/$R$92)*$AD$92</f>
        <v>0</v>
      </c>
      <c r="AE35" s="13">
        <v>10</v>
      </c>
      <c r="AF35" s="77">
        <f>ROUND(IF(INDEX('Res Measure Mapping'!$V:$V,MATCH($D35,'Res Measure Mapping'!$B:$B,0))="N/A",AE35,INDEX('Res Measure Mapping'!$V:$V,MATCH($D35,'Res Measure Mapping'!$B:$B,0))),0)</f>
        <v>10</v>
      </c>
      <c r="AG35" s="73" t="str">
        <f>INDEX('Res Measure Mapping'!$S:$S,MATCH($D35,'Res Measure Mapping'!$B:$B,0))</f>
        <v>N/A</v>
      </c>
      <c r="AH35" s="13">
        <f>AE35</f>
        <v>10</v>
      </c>
      <c r="AI35" s="13">
        <f>IF($B$2="Original",IF(ISNUMBER(AE35),AE35*L35,""),IF(ISNUMBER(AH35),AH35*L35,""))</f>
        <v>0</v>
      </c>
      <c r="AJ35" s="16">
        <f>IF(ISERROR(AI35/AC35),0,AI35/AC35)</f>
        <v>0</v>
      </c>
      <c r="AK35" s="16">
        <f>IF(ISERROR((AD35+AI35)/AC35),0,(AD35+AI35)/AC35)</f>
        <v>0</v>
      </c>
      <c r="AL35" s="82" t="str">
        <f>IF($B$2="Original",IF($AI35=0,"-",(VLOOKUP(Y35,'APP 2885'!$B$10:$G$54,6)*$R35)/($AI35+$AD35)),IF($AI35=0,"-",(VLOOKUP(AA35,'APP 2885'!$B$10:$G$54,6)*$R35)/($AI35+$AD35)))</f>
        <v>-</v>
      </c>
      <c r="AM35" s="17">
        <f>IF(ISERROR(RU35/AB35),0,X35/AB35)</f>
        <v>0</v>
      </c>
      <c r="AN35" s="18">
        <f>IF(ISERROR(X35/AB35),0,(X35+AD35)/AB35)</f>
        <v>0</v>
      </c>
      <c r="AO35" s="108" t="str">
        <f>IF($B$2="Original",IF($AI35=0,"-",(VLOOKUP(Y35,'APP 2885'!$B$10:$G$54,4)*$R35)/($X35+$AD35)),IF($AI35=0,"-",(VLOOKUP(AA35,'APP 2885'!$B$10:$G$54,4)*$R35)/($X35+$AD35)))</f>
        <v>-</v>
      </c>
    </row>
    <row r="36" spans="3:41" ht="20.100000000000001" customHeight="1" thickBot="1" x14ac:dyDescent="0.3">
      <c r="C36" s="119" t="s">
        <v>125</v>
      </c>
      <c r="D36" s="55" t="str">
        <f>E36&amp;"_"&amp;F36&amp;"_"&amp;G36</f>
        <v>Energy Savings Kit 1_Zone 2_One Low Flow Showerhead plus Aerators</v>
      </c>
      <c r="E36" s="3" t="s">
        <v>43</v>
      </c>
      <c r="F36" s="3" t="s">
        <v>23</v>
      </c>
      <c r="G36" s="3" t="s">
        <v>44</v>
      </c>
      <c r="H36" s="3" t="str">
        <f>G36</f>
        <v>One Low Flow Showerhead plus Aerators</v>
      </c>
      <c r="I36" s="4">
        <v>29</v>
      </c>
      <c r="J36" s="4">
        <v>29</v>
      </c>
      <c r="K36" s="4"/>
      <c r="L36" s="4">
        <f>(R36/Q36)</f>
        <v>0</v>
      </c>
      <c r="M36" s="131">
        <v>0</v>
      </c>
      <c r="N36" s="70">
        <v>17</v>
      </c>
      <c r="O36" s="70">
        <f>IF(INDEX('Res Measure Mapping'!$R:$R,MATCH($D36,'Res Measure Mapping'!$B:$B,0))="N/A",N36,INDEX('Res Measure Mapping'!$R:$R,MATCH($D36,'Res Measure Mapping'!$B:$B,0)))</f>
        <v>17</v>
      </c>
      <c r="P36" s="70" t="str">
        <f>INDEX('Res Measure Mapping'!$S:$S,MATCH($D36,'Res Measure Mapping'!$B:$B,0))</f>
        <v>N/A</v>
      </c>
      <c r="Q36" s="70">
        <f>N36</f>
        <v>17</v>
      </c>
      <c r="R36" s="135">
        <f>M36*$R$92</f>
        <v>0</v>
      </c>
      <c r="S36" s="5">
        <v>10</v>
      </c>
      <c r="T36" s="76" t="s">
        <v>125</v>
      </c>
      <c r="U36" s="5">
        <f>S36</f>
        <v>10</v>
      </c>
      <c r="V36" s="5">
        <f>IF(B3="Original",PV($F$96,$Y36,-8.6),PV($F$96,$AA36,-8.6))</f>
        <v>71.884665695689918</v>
      </c>
      <c r="W36" s="5">
        <f>IF($B$2="Original",IF(ISNUMBER(S36),S36*L36,""),IF(ISNUMBER(U36),U36*L36,""))</f>
        <v>0</v>
      </c>
      <c r="X36" s="6">
        <f>W36-L36*(V36)</f>
        <v>0</v>
      </c>
      <c r="Y36" s="4">
        <v>10</v>
      </c>
      <c r="Z36" s="70">
        <f>IF(INDEX('Res Measure Mapping'!$U:$U,MATCH($D36,'Res Measure Mapping'!$B:$B,0))="N/A",Y36,INDEX('Res Measure Mapping'!$U:$U,MATCH($D36,'Res Measure Mapping'!$B:$B,0)))</f>
        <v>10</v>
      </c>
      <c r="AA36" s="4">
        <f>Z36</f>
        <v>10</v>
      </c>
      <c r="AB36" s="4">
        <f>IF($B$2="Original",PV($F$96,$Y36,-$R36),PV($F$96,$AA36,-$R36))</f>
        <v>0</v>
      </c>
      <c r="AC36" s="4">
        <f>IF($B$2="Original",PV($F$96,$Y36,-$R36),PV($F$96,$AA36,-$R36))</f>
        <v>0</v>
      </c>
      <c r="AD36" s="7">
        <f>(R36/$R$92)*$AD$92</f>
        <v>0</v>
      </c>
      <c r="AE36" s="5">
        <v>10</v>
      </c>
      <c r="AF36" s="76">
        <f>ROUND(IF(INDEX('Res Measure Mapping'!$V:$V,MATCH($D36,'Res Measure Mapping'!$B:$B,0))="N/A",AE36,INDEX('Res Measure Mapping'!$V:$V,MATCH($D36,'Res Measure Mapping'!$B:$B,0))),0)</f>
        <v>10</v>
      </c>
      <c r="AG36" s="70" t="str">
        <f>INDEX('Res Measure Mapping'!$S:$S,MATCH($D36,'Res Measure Mapping'!$B:$B,0))</f>
        <v>N/A</v>
      </c>
      <c r="AH36" s="5">
        <f>AE36</f>
        <v>10</v>
      </c>
      <c r="AI36" s="5">
        <f>IF($B$2="Original",IF(ISNUMBER(AE36),AE36*L36,""),IF(ISNUMBER(AH36),AH36*L36,""))</f>
        <v>0</v>
      </c>
      <c r="AJ36" s="8">
        <f>IF(ISERROR(AI36/AC36),0,AI36/AC36)</f>
        <v>0</v>
      </c>
      <c r="AK36" s="8">
        <f>IF(ISERROR((AD36+AI36)/AC36),0,(AD36+AI36)/AC36)</f>
        <v>0</v>
      </c>
      <c r="AL36" s="81" t="str">
        <f>IF($B$2="Original",IF($AI36=0,"-",(VLOOKUP(Y36,'APP 2885'!$B$10:$G$54,6)*$R36)/($AI36+$AD36)),IF($AI36=0,"-",(VLOOKUP(AA36,'APP 2885'!$B$10:$G$54,6)*$R36)/($AI36+$AD36)))</f>
        <v>-</v>
      </c>
      <c r="AM36" s="9">
        <f>IF(ISERROR(RU36/AB36),0,X36/AB36)</f>
        <v>0</v>
      </c>
      <c r="AN36" s="10">
        <f>IF(ISERROR(X36/AB36),0,(X36+AD36)/AB36)</f>
        <v>0</v>
      </c>
      <c r="AO36" s="107" t="str">
        <f>IF($B$2="Original",IF($AI36=0,"-",(VLOOKUP(Y36,'APP 2885'!$B$10:$G$54,4)*$R36)/($X36+$AD36)),IF($AI36=0,"-",(VLOOKUP(AA36,'APP 2885'!$B$10:$G$54,4)*$R36)/($X36+$AD36)))</f>
        <v>-</v>
      </c>
    </row>
    <row r="37" spans="3:41" ht="20.100000000000001" customHeight="1" thickBot="1" x14ac:dyDescent="0.3">
      <c r="C37" s="119" t="s">
        <v>125</v>
      </c>
      <c r="D37" s="55" t="str">
        <f>E37&amp;"_"&amp;F37&amp;"_"&amp;G37</f>
        <v>Energy Savings Kit 1_Zone 3_One Low Flow Showerhead plus Aerators</v>
      </c>
      <c r="E37" s="11" t="s">
        <v>43</v>
      </c>
      <c r="F37" s="11" t="s">
        <v>24</v>
      </c>
      <c r="G37" s="11" t="s">
        <v>44</v>
      </c>
      <c r="H37" s="11" t="str">
        <f>G37</f>
        <v>One Low Flow Showerhead plus Aerators</v>
      </c>
      <c r="I37" s="12">
        <v>41</v>
      </c>
      <c r="J37" s="12">
        <v>41</v>
      </c>
      <c r="K37" s="12"/>
      <c r="L37" s="12">
        <f>(R37/Q37)</f>
        <v>0</v>
      </c>
      <c r="M37" s="132">
        <v>0</v>
      </c>
      <c r="N37" s="71">
        <v>17</v>
      </c>
      <c r="O37" s="73">
        <f>IF(INDEX('Res Measure Mapping'!$R:$R,MATCH($D37,'Res Measure Mapping'!$B:$B,0))="N/A",N37,INDEX('Res Measure Mapping'!$R:$R,MATCH($D37,'Res Measure Mapping'!$B:$B,0)))</f>
        <v>17</v>
      </c>
      <c r="P37" s="73" t="str">
        <f>INDEX('Res Measure Mapping'!$S:$S,MATCH($D37,'Res Measure Mapping'!$B:$B,0))</f>
        <v>N/A</v>
      </c>
      <c r="Q37" s="71">
        <f>N37</f>
        <v>17</v>
      </c>
      <c r="R37" s="136">
        <f>M37*$R$92</f>
        <v>0</v>
      </c>
      <c r="S37" s="13">
        <v>10</v>
      </c>
      <c r="T37" s="77" t="s">
        <v>125</v>
      </c>
      <c r="U37" s="13">
        <f>S37</f>
        <v>10</v>
      </c>
      <c r="V37" s="13">
        <f>IF(B4="Original",PV($F$96,$Y37,-8.6),PV($F$96,$AA37,-8.6))</f>
        <v>71.884665695689918</v>
      </c>
      <c r="W37" s="13">
        <f>IF($B$2="Original",IF(ISNUMBER(S37),S37*L37,""),IF(ISNUMBER(U37),U37*L37,""))</f>
        <v>0</v>
      </c>
      <c r="X37" s="14">
        <f>W37-L37*(V37)</f>
        <v>0</v>
      </c>
      <c r="Y37" s="12">
        <v>10</v>
      </c>
      <c r="Z37" s="73">
        <f>IF(INDEX('Res Measure Mapping'!$U:$U,MATCH($D37,'Res Measure Mapping'!$B:$B,0))="N/A",Y37,INDEX('Res Measure Mapping'!$U:$U,MATCH($D37,'Res Measure Mapping'!$B:$B,0)))</f>
        <v>10</v>
      </c>
      <c r="AA37" s="12">
        <f>Z37</f>
        <v>10</v>
      </c>
      <c r="AB37" s="12">
        <f>IF($B$2="Original",PV($F$96,$Y37,-$R37),PV($F$96,$AA37,-$R37))</f>
        <v>0</v>
      </c>
      <c r="AC37" s="12">
        <f>IF($B$2="Original",PV($F$96,$Y37,-$R37),PV($F$96,$AA37,-$R37))</f>
        <v>0</v>
      </c>
      <c r="AD37" s="15">
        <f>(R37/$R$92)*$AD$92</f>
        <v>0</v>
      </c>
      <c r="AE37" s="13">
        <v>10</v>
      </c>
      <c r="AF37" s="77">
        <f>ROUND(IF(INDEX('Res Measure Mapping'!$V:$V,MATCH($D37,'Res Measure Mapping'!$B:$B,0))="N/A",AE37,INDEX('Res Measure Mapping'!$V:$V,MATCH($D37,'Res Measure Mapping'!$B:$B,0))),0)</f>
        <v>10</v>
      </c>
      <c r="AG37" s="73" t="str">
        <f>INDEX('Res Measure Mapping'!$S:$S,MATCH($D37,'Res Measure Mapping'!$B:$B,0))</f>
        <v>N/A</v>
      </c>
      <c r="AH37" s="13">
        <f>AE37</f>
        <v>10</v>
      </c>
      <c r="AI37" s="13">
        <f>IF($B$2="Original",IF(ISNUMBER(AE37),AE37*L37,""),IF(ISNUMBER(AH37),AH37*L37,""))</f>
        <v>0</v>
      </c>
      <c r="AJ37" s="16">
        <f>IF(ISERROR(AI37/AC37),0,AI37/AC37)</f>
        <v>0</v>
      </c>
      <c r="AK37" s="16">
        <f>IF(ISERROR((AD37+AI37)/AC37),0,(AD37+AI37)/AC37)</f>
        <v>0</v>
      </c>
      <c r="AL37" s="82" t="str">
        <f>IF($B$2="Original",IF($AI37=0,"-",(VLOOKUP(Y37,'APP 2885'!$B$10:$G$54,6)*$R37)/($AI37+$AD37)),IF($AI37=0,"-",(VLOOKUP(AA37,'APP 2885'!$B$10:$G$54,6)*$R37)/($AI37+$AD37)))</f>
        <v>-</v>
      </c>
      <c r="AM37" s="17">
        <f>IF(ISERROR(RU37/AB37),0,X37/AB37)</f>
        <v>0</v>
      </c>
      <c r="AN37" s="18">
        <f>IF(ISERROR(X37/AB37),0,(X37+AD37)/AB37)</f>
        <v>0</v>
      </c>
      <c r="AO37" s="108" t="str">
        <f>IF($B$2="Original",IF($AI37=0,"-",(VLOOKUP(Y37,'APP 2885'!$B$10:$G$54,4)*$R37)/($X37+$AD37)),IF($AI37=0,"-",(VLOOKUP(AA37,'APP 2885'!$B$10:$G$54,4)*$R37)/($X37+$AD37)))</f>
        <v>-</v>
      </c>
    </row>
    <row r="38" spans="3:41" ht="20.100000000000001" customHeight="1" thickBot="1" x14ac:dyDescent="0.3">
      <c r="C38" s="119" t="s">
        <v>125</v>
      </c>
      <c r="D38" s="55" t="str">
        <f>E38&amp;"_"&amp;F38&amp;"_"&amp;G38</f>
        <v>Energy Savings Kit 2_Zone 1_Two Low Flow Showerheads plus Aerators</v>
      </c>
      <c r="E38" s="3" t="s">
        <v>45</v>
      </c>
      <c r="F38" s="3" t="s">
        <v>21</v>
      </c>
      <c r="G38" s="3" t="s">
        <v>46</v>
      </c>
      <c r="H38" s="3" t="str">
        <f>G38</f>
        <v>Two Low Flow Showerheads plus Aerators</v>
      </c>
      <c r="I38" s="4">
        <v>191</v>
      </c>
      <c r="J38" s="4">
        <v>191</v>
      </c>
      <c r="K38" s="4"/>
      <c r="L38" s="4">
        <f>(R38/Q38)</f>
        <v>0</v>
      </c>
      <c r="M38" s="131">
        <v>0</v>
      </c>
      <c r="N38" s="70">
        <v>31</v>
      </c>
      <c r="O38" s="70">
        <f>IF(INDEX('Res Measure Mapping'!$R:$R,MATCH($D38,'Res Measure Mapping'!$B:$B,0))="N/A",N38,INDEX('Res Measure Mapping'!$R:$R,MATCH($D38,'Res Measure Mapping'!$B:$B,0)))</f>
        <v>31</v>
      </c>
      <c r="P38" s="70" t="str">
        <f>INDEX('Res Measure Mapping'!$S:$S,MATCH($D38,'Res Measure Mapping'!$B:$B,0))</f>
        <v>N/A</v>
      </c>
      <c r="Q38" s="70">
        <f>N38</f>
        <v>31</v>
      </c>
      <c r="R38" s="135">
        <f>M38*$R$92</f>
        <v>0</v>
      </c>
      <c r="S38" s="5">
        <v>16</v>
      </c>
      <c r="T38" s="76" t="s">
        <v>125</v>
      </c>
      <c r="U38" s="5">
        <f>S38</f>
        <v>16</v>
      </c>
      <c r="V38" s="5">
        <f>IF(B5="Original",PV($F$96,$Y38,-8.6),PV($F$96,$AA38,-8.6))</f>
        <v>71.884665695689918</v>
      </c>
      <c r="W38" s="5">
        <f>IF($B$2="Original",IF(ISNUMBER(S38),S38*L38,""),IF(ISNUMBER(U38),U38*L38,""))</f>
        <v>0</v>
      </c>
      <c r="X38" s="6">
        <f>W38-L38*(V38)</f>
        <v>0</v>
      </c>
      <c r="Y38" s="4">
        <v>10</v>
      </c>
      <c r="Z38" s="70">
        <f>IF(INDEX('Res Measure Mapping'!$U:$U,MATCH($D38,'Res Measure Mapping'!$B:$B,0))="N/A",Y38,INDEX('Res Measure Mapping'!$U:$U,MATCH($D38,'Res Measure Mapping'!$B:$B,0)))</f>
        <v>10</v>
      </c>
      <c r="AA38" s="4">
        <f>Z38</f>
        <v>10</v>
      </c>
      <c r="AB38" s="4">
        <f>IF($B$2="Original",PV($F$96,$Y38,-$R38),PV($F$96,$AA38,-$R38))</f>
        <v>0</v>
      </c>
      <c r="AC38" s="4">
        <f>IF($B$2="Original",PV($F$96,$Y38,-$R38),PV($F$96,$AA38,-$R38))</f>
        <v>0</v>
      </c>
      <c r="AD38" s="7">
        <f>(R38/$R$92)*$AD$92</f>
        <v>0</v>
      </c>
      <c r="AE38" s="5">
        <v>16</v>
      </c>
      <c r="AF38" s="76">
        <f>ROUND(IF(INDEX('Res Measure Mapping'!$V:$V,MATCH($D38,'Res Measure Mapping'!$B:$B,0))="N/A",AE38,INDEX('Res Measure Mapping'!$V:$V,MATCH($D38,'Res Measure Mapping'!$B:$B,0))),0)</f>
        <v>16</v>
      </c>
      <c r="AG38" s="70" t="str">
        <f>INDEX('Res Measure Mapping'!$S:$S,MATCH($D38,'Res Measure Mapping'!$B:$B,0))</f>
        <v>N/A</v>
      </c>
      <c r="AH38" s="5">
        <f>AE38</f>
        <v>16</v>
      </c>
      <c r="AI38" s="5">
        <f>IF($B$2="Original",IF(ISNUMBER(AE38),AE38*L38,""),IF(ISNUMBER(AH38),AH38*L38,""))</f>
        <v>0</v>
      </c>
      <c r="AJ38" s="8">
        <f>IF(ISERROR(AI38/AC38),0,AI38/AC38)</f>
        <v>0</v>
      </c>
      <c r="AK38" s="8">
        <f>IF(ISERROR((AD38+AI38)/AC38),0,(AD38+AI38)/AC38)</f>
        <v>0</v>
      </c>
      <c r="AL38" s="81" t="str">
        <f>IF($B$2="Original",IF($AI38=0,"-",(VLOOKUP(Y38,'APP 2885'!$B$10:$G$54,6)*$R38)/($AI38+$AD38)),IF($AI38=0,"-",(VLOOKUP(AA38,'APP 2885'!$B$10:$G$54,6)*$R38)/($AI38+$AD38)))</f>
        <v>-</v>
      </c>
      <c r="AM38" s="9">
        <f>IF(ISERROR(RU38/AB38),0,X38/AB38)</f>
        <v>0</v>
      </c>
      <c r="AN38" s="10">
        <f>IF(ISERROR(X38/AB38),0,(X38+AD38)/AB38)</f>
        <v>0</v>
      </c>
      <c r="AO38" s="107" t="str">
        <f>IF($B$2="Original",IF($AI38=0,"-",(VLOOKUP(Y38,'APP 2885'!$B$10:$G$54,4)*$R38)/($X38+$AD38)),IF($AI38=0,"-",(VLOOKUP(AA38,'APP 2885'!$B$10:$G$54,4)*$R38)/($X38+$AD38)))</f>
        <v>-</v>
      </c>
    </row>
    <row r="39" spans="3:41" ht="20.100000000000001" customHeight="1" thickBot="1" x14ac:dyDescent="0.3">
      <c r="C39" s="119" t="s">
        <v>125</v>
      </c>
      <c r="D39" s="55" t="str">
        <f>E39&amp;"_"&amp;F39&amp;"_"&amp;G39</f>
        <v>Energy Savings Kit 2_Zone 2_Two Low Flow Showerheads plus Aerators</v>
      </c>
      <c r="E39" s="11" t="s">
        <v>45</v>
      </c>
      <c r="F39" s="11" t="s">
        <v>23</v>
      </c>
      <c r="G39" s="11" t="s">
        <v>46</v>
      </c>
      <c r="H39" s="11" t="str">
        <f>G39</f>
        <v>Two Low Flow Showerheads plus Aerators</v>
      </c>
      <c r="I39" s="12">
        <v>90</v>
      </c>
      <c r="J39" s="12">
        <v>90</v>
      </c>
      <c r="K39" s="12"/>
      <c r="L39" s="12">
        <f>(R39/Q39)</f>
        <v>0</v>
      </c>
      <c r="M39" s="132">
        <v>0</v>
      </c>
      <c r="N39" s="71">
        <v>31</v>
      </c>
      <c r="O39" s="73">
        <f>IF(INDEX('Res Measure Mapping'!$R:$R,MATCH($D39,'Res Measure Mapping'!$B:$B,0))="N/A",N39,INDEX('Res Measure Mapping'!$R:$R,MATCH($D39,'Res Measure Mapping'!$B:$B,0)))</f>
        <v>31</v>
      </c>
      <c r="P39" s="73" t="str">
        <f>INDEX('Res Measure Mapping'!$S:$S,MATCH($D39,'Res Measure Mapping'!$B:$B,0))</f>
        <v>N/A</v>
      </c>
      <c r="Q39" s="71">
        <f>N39</f>
        <v>31</v>
      </c>
      <c r="R39" s="136">
        <f>M39*$R$92</f>
        <v>0</v>
      </c>
      <c r="S39" s="13">
        <v>16</v>
      </c>
      <c r="T39" s="77" t="s">
        <v>125</v>
      </c>
      <c r="U39" s="13">
        <f>S39</f>
        <v>16</v>
      </c>
      <c r="V39" s="13">
        <f>IF(B2="Original",PV($F$96,$Y39,-8.6),PV($F$96,$AA39,-8.6))</f>
        <v>71.884665695689918</v>
      </c>
      <c r="W39" s="13">
        <f>IF($B$2="Original",IF(ISNUMBER(S39),S39*L39,""),IF(ISNUMBER(U39),U39*L39,""))</f>
        <v>0</v>
      </c>
      <c r="X39" s="14">
        <f>W39-L39*(V39)</f>
        <v>0</v>
      </c>
      <c r="Y39" s="12">
        <v>10</v>
      </c>
      <c r="Z39" s="73">
        <f>IF(INDEX('Res Measure Mapping'!$U:$U,MATCH($D39,'Res Measure Mapping'!$B:$B,0))="N/A",Y39,INDEX('Res Measure Mapping'!$U:$U,MATCH($D39,'Res Measure Mapping'!$B:$B,0)))</f>
        <v>10</v>
      </c>
      <c r="AA39" s="12">
        <f>Z39</f>
        <v>10</v>
      </c>
      <c r="AB39" s="12">
        <f>IF($B$2="Original",PV($F$96,$Y39,-$R39),PV($F$96,$AA39,-$R39))</f>
        <v>0</v>
      </c>
      <c r="AC39" s="12">
        <f>IF($B$2="Original",PV($F$96,$Y39,-$R39),PV($F$96,$AA39,-$R39))</f>
        <v>0</v>
      </c>
      <c r="AD39" s="15">
        <f>(R39/$R$92)*$AD$92</f>
        <v>0</v>
      </c>
      <c r="AE39" s="13">
        <v>16</v>
      </c>
      <c r="AF39" s="77">
        <f>ROUND(IF(INDEX('Res Measure Mapping'!$V:$V,MATCH($D39,'Res Measure Mapping'!$B:$B,0))="N/A",AE39,INDEX('Res Measure Mapping'!$V:$V,MATCH($D39,'Res Measure Mapping'!$B:$B,0))),0)</f>
        <v>16</v>
      </c>
      <c r="AG39" s="73" t="str">
        <f>INDEX('Res Measure Mapping'!$S:$S,MATCH($D39,'Res Measure Mapping'!$B:$B,0))</f>
        <v>N/A</v>
      </c>
      <c r="AH39" s="13">
        <f>AE39</f>
        <v>16</v>
      </c>
      <c r="AI39" s="13">
        <f>IF($B$2="Original",IF(ISNUMBER(AE39),AE39*L39,""),IF(ISNUMBER(AH39),AH39*L39,""))</f>
        <v>0</v>
      </c>
      <c r="AJ39" s="16">
        <f>IF(ISERROR(AI39/AC39),0,AI39/AC39)</f>
        <v>0</v>
      </c>
      <c r="AK39" s="16">
        <f>IF(ISERROR((AD39+AI39)/AC39),0,(AD39+AI39)/AC39)</f>
        <v>0</v>
      </c>
      <c r="AL39" s="82" t="str">
        <f>IF($B$2="Original",IF($AI39=0,"-",(VLOOKUP(Y39,'APP 2885'!$B$10:$G$54,6)*$R39)/($AI39+$AD39)),IF($AI39=0,"-",(VLOOKUP(AA39,'APP 2885'!$B$10:$G$54,6)*$R39)/($AI39+$AD39)))</f>
        <v>-</v>
      </c>
      <c r="AM39" s="17">
        <f>IF(ISERROR(RU39/AB39),0,X39/AB39)</f>
        <v>0</v>
      </c>
      <c r="AN39" s="18">
        <f>IF(ISERROR(X39/AB39),0,(X39+AD39)/AB39)</f>
        <v>0</v>
      </c>
      <c r="AO39" s="108" t="str">
        <f>IF($B$2="Original",IF($AI39=0,"-",(VLOOKUP(Y39,'APP 2885'!$B$10:$G$54,4)*$R39)/($X39+$AD39)),IF($AI39=0,"-",(VLOOKUP(AA39,'APP 2885'!$B$10:$G$54,4)*$R39)/($X39+$AD39)))</f>
        <v>-</v>
      </c>
    </row>
    <row r="40" spans="3:41" ht="20.100000000000001" customHeight="1" thickBot="1" x14ac:dyDescent="0.3">
      <c r="C40" s="119" t="s">
        <v>125</v>
      </c>
      <c r="D40" s="55" t="str">
        <f>E40&amp;"_"&amp;F40&amp;"_"&amp;G40</f>
        <v>Energy Savings Kit 2_Zone 3_Two Low Flow Showerheads plus Aerators</v>
      </c>
      <c r="E40" s="3" t="s">
        <v>45</v>
      </c>
      <c r="F40" s="3" t="s">
        <v>24</v>
      </c>
      <c r="G40" s="3" t="s">
        <v>46</v>
      </c>
      <c r="H40" s="3" t="str">
        <f>G40</f>
        <v>Two Low Flow Showerheads plus Aerators</v>
      </c>
      <c r="I40" s="4">
        <v>147</v>
      </c>
      <c r="J40" s="4">
        <v>159</v>
      </c>
      <c r="K40" s="4"/>
      <c r="L40" s="4">
        <f>(R40/Q40)</f>
        <v>0</v>
      </c>
      <c r="M40" s="131">
        <v>0</v>
      </c>
      <c r="N40" s="70">
        <v>34</v>
      </c>
      <c r="O40" s="70">
        <f>IF(INDEX('Res Measure Mapping'!$R:$R,MATCH($D40,'Res Measure Mapping'!$B:$B,0))="N/A",N40,INDEX('Res Measure Mapping'!$R:$R,MATCH($D40,'Res Measure Mapping'!$B:$B,0)))</f>
        <v>34</v>
      </c>
      <c r="P40" s="70" t="str">
        <f>INDEX('Res Measure Mapping'!$S:$S,MATCH($D40,'Res Measure Mapping'!$B:$B,0))</f>
        <v>N/A</v>
      </c>
      <c r="Q40" s="70">
        <f>N40</f>
        <v>34</v>
      </c>
      <c r="R40" s="135">
        <f>M40*$R$92</f>
        <v>0</v>
      </c>
      <c r="S40" s="5">
        <v>16</v>
      </c>
      <c r="T40" s="76" t="s">
        <v>125</v>
      </c>
      <c r="U40" s="5">
        <f>S40</f>
        <v>16</v>
      </c>
      <c r="V40" s="5">
        <f>IF(B7="Original",PV($F$96,$Y40,-8.6),PV($F$96,$AA40,-8.6))</f>
        <v>71.884665695689918</v>
      </c>
      <c r="W40" s="5">
        <f>IF($B$2="Original",IF(ISNUMBER(S40),S40*L40,""),IF(ISNUMBER(U40),U40*L40,""))</f>
        <v>0</v>
      </c>
      <c r="X40" s="6">
        <f>W40-L40*(V40)</f>
        <v>0</v>
      </c>
      <c r="Y40" s="4">
        <v>10</v>
      </c>
      <c r="Z40" s="70">
        <f>IF(INDEX('Res Measure Mapping'!$U:$U,MATCH($D40,'Res Measure Mapping'!$B:$B,0))="N/A",Y40,INDEX('Res Measure Mapping'!$U:$U,MATCH($D40,'Res Measure Mapping'!$B:$B,0)))</f>
        <v>10</v>
      </c>
      <c r="AA40" s="4">
        <f>Z40</f>
        <v>10</v>
      </c>
      <c r="AB40" s="4">
        <f>IF($B$2="Original",PV($F$96,$Y40,-$R40),PV($F$96,$AA40,-$R40))</f>
        <v>0</v>
      </c>
      <c r="AC40" s="4">
        <f>IF($B$2="Original",PV($F$96,$Y40,-$R40),PV($F$96,$AA40,-$R40))</f>
        <v>0</v>
      </c>
      <c r="AD40" s="7">
        <f>(R40/$R$92)*$AD$92</f>
        <v>0</v>
      </c>
      <c r="AE40" s="5">
        <v>16</v>
      </c>
      <c r="AF40" s="76">
        <f>ROUND(IF(INDEX('Res Measure Mapping'!$V:$V,MATCH($D40,'Res Measure Mapping'!$B:$B,0))="N/A",AE40,INDEX('Res Measure Mapping'!$V:$V,MATCH($D40,'Res Measure Mapping'!$B:$B,0))),0)</f>
        <v>16</v>
      </c>
      <c r="AG40" s="70" t="str">
        <f>INDEX('Res Measure Mapping'!$S:$S,MATCH($D40,'Res Measure Mapping'!$B:$B,0))</f>
        <v>N/A</v>
      </c>
      <c r="AH40" s="5">
        <f>AE40</f>
        <v>16</v>
      </c>
      <c r="AI40" s="5">
        <f>IF($B$2="Original",IF(ISNUMBER(AE40),AE40*L40,""),IF(ISNUMBER(AH40),AH40*L40,""))</f>
        <v>0</v>
      </c>
      <c r="AJ40" s="8">
        <f>IF(ISERROR(AI40/AC40),0,AI40/AC40)</f>
        <v>0</v>
      </c>
      <c r="AK40" s="8">
        <f>IF(ISERROR((AD40+AI40)/AC40),0,(AD40+AI40)/AC40)</f>
        <v>0</v>
      </c>
      <c r="AL40" s="81" t="str">
        <f>IF($B$2="Original",IF($AI40=0,"-",(VLOOKUP(Y40,'APP 2885'!$B$10:$G$54,6)*$R40)/($AI40+$AD40)),IF($AI40=0,"-",(VLOOKUP(AA40,'APP 2885'!$B$10:$G$54,6)*$R40)/($AI40+$AD40)))</f>
        <v>-</v>
      </c>
      <c r="AM40" s="9">
        <f>IF(ISERROR(RU40/AB40),0,X40/AB40)</f>
        <v>0</v>
      </c>
      <c r="AN40" s="10">
        <f>IF(ISERROR(X40/AB40),0,(X40+AD40)/AB40)</f>
        <v>0</v>
      </c>
      <c r="AO40" s="107" t="str">
        <f>IF($B$2="Original",IF($AI40=0,"-",(VLOOKUP(Y40,'APP 2885'!$B$10:$G$54,4)*$R40)/($X40+$AD40)),IF($AI40=0,"-",(VLOOKUP(AA40,'APP 2885'!$B$10:$G$54,4)*$R40)/($X40+$AD40)))</f>
        <v>-</v>
      </c>
    </row>
    <row r="41" spans="3:41" ht="20.100000000000001" customHeight="1" thickBot="1" x14ac:dyDescent="0.3">
      <c r="C41" s="119">
        <v>2</v>
      </c>
      <c r="D41" s="55" t="str">
        <f>E41&amp;"_"&amp;F41&amp;"_"&amp;G41</f>
        <v>ENERGY STAR® Certified Homes + U.30 Window Glazing_Zone 2_Certified HERS 75</v>
      </c>
      <c r="E41" s="11" t="s">
        <v>88</v>
      </c>
      <c r="F41" s="11" t="s">
        <v>23</v>
      </c>
      <c r="G41" s="11" t="s">
        <v>48</v>
      </c>
      <c r="H41" s="11" t="str">
        <f>G41</f>
        <v>Certified HERS 75</v>
      </c>
      <c r="I41" s="12">
        <v>1</v>
      </c>
      <c r="J41" s="12">
        <v>1</v>
      </c>
      <c r="K41" s="12"/>
      <c r="L41" s="12">
        <f>(R41/Q41)</f>
        <v>3.6397013798147806</v>
      </c>
      <c r="M41" s="132">
        <f>(I41*N41)/383018</f>
        <v>4.3862168357622881E-4</v>
      </c>
      <c r="N41" s="71">
        <v>168</v>
      </c>
      <c r="O41" s="73">
        <f>IF(INDEX('Res Measure Mapping'!$R:$R,MATCH($D41,'Res Measure Mapping'!$B:$B,0))="N/A",N41,INDEX('Res Measure Mapping'!$R:$R,MATCH($D41,'Res Measure Mapping'!$B:$B,0)))</f>
        <v>51.724608429932317</v>
      </c>
      <c r="P41" s="73" t="str">
        <f>INDEX('Res Measure Mapping'!$S:$S,MATCH($D41,'Res Measure Mapping'!$B:$B,0))</f>
        <v>household</v>
      </c>
      <c r="Q41" s="71">
        <f>O41</f>
        <v>51.724608429932317</v>
      </c>
      <c r="R41" s="136">
        <f>M41*$R$92</f>
        <v>188.2621286728039</v>
      </c>
      <c r="S41" s="13">
        <v>1142</v>
      </c>
      <c r="T41" s="77">
        <f>IF(INDEX('Res Measure Mapping'!$T:$T,MATCH($D41,'Res Measure Mapping'!$B:$B,0))="N/A",S41,INDEX('Res Measure Mapping'!$T:$T,MATCH($D41,'Res Measure Mapping'!$B:$B,0)))</f>
        <v>1765.16</v>
      </c>
      <c r="U41" s="13">
        <f>S41</f>
        <v>1142</v>
      </c>
      <c r="V41" s="13">
        <f>IF($B$2="Original",PV($F$96,$Y41,(-0.05*0.95*$N41)),PV($F$96,$AA41,(-0.05*0.95*$Q41)))</f>
        <v>45.759277584118216</v>
      </c>
      <c r="W41" s="13">
        <f>IF($B$2="Original",IF(ISNUMBER(S41),S41*L41,""),IF(ISNUMBER(U41),U41*L41,""))</f>
        <v>4156.5389757484791</v>
      </c>
      <c r="X41" s="14">
        <f>W41-L41*(V41)</f>
        <v>3989.9888699862363</v>
      </c>
      <c r="Y41" s="12">
        <v>30</v>
      </c>
      <c r="Z41" s="73">
        <f>IF(INDEX('Res Measure Mapping'!$U:$U,MATCH($D41,'Res Measure Mapping'!$B:$B,0))="N/A",Y41,INDEX('Res Measure Mapping'!$U:$U,MATCH($D41,'Res Measure Mapping'!$B:$B,0)))</f>
        <v>30</v>
      </c>
      <c r="AA41" s="12">
        <f>Z41</f>
        <v>30</v>
      </c>
      <c r="AB41" s="12">
        <f>IF($B$2="Original",PV($F$96,$Y41,-$R41),PV($F$96,$AA41,-$R41))</f>
        <v>3506.318016047213</v>
      </c>
      <c r="AC41" s="12">
        <f>IF($B$2="Original",PV($F$96,$Y41,-$R41),PV($F$96,$AA41,-$R41))</f>
        <v>3506.318016047213</v>
      </c>
      <c r="AD41" s="15">
        <f>(R41/$R$92)*$AD$92</f>
        <v>567.01282968424459</v>
      </c>
      <c r="AE41" s="13">
        <v>2000</v>
      </c>
      <c r="AF41" s="77">
        <f>ROUND(IF(INDEX('Res Measure Mapping'!$V:$V,MATCH($D41,'Res Measure Mapping'!$B:$B,0))="N/A",AE41,INDEX('Res Measure Mapping'!$V:$V,MATCH($D41,'Res Measure Mapping'!$B:$B,0))),0)</f>
        <v>812</v>
      </c>
      <c r="AG41" s="73" t="str">
        <f>INDEX('Res Measure Mapping'!$S:$S,MATCH($D41,'Res Measure Mapping'!$B:$B,0))</f>
        <v>household</v>
      </c>
      <c r="AH41" s="13">
        <v>600</v>
      </c>
      <c r="AI41" s="13">
        <f>IF($B$2="Original",IF(ISNUMBER(AE41),AE41*L41,""),IF(ISNUMBER(AH41),AH41*L41,""))</f>
        <v>2183.8208278888683</v>
      </c>
      <c r="AJ41" s="16">
        <f>IF(ISERROR(AI41/AC41),0,AI41/AC41)</f>
        <v>0.62282451788293891</v>
      </c>
      <c r="AK41" s="16">
        <f>IF(ISERROR((AD41+AI41)/AC41),0,(AD41+AI41)/AC41)</f>
        <v>0.78453626995141124</v>
      </c>
      <c r="AL41" s="82">
        <f>IF($B$2="Original",IF($AI41=0,"-",(VLOOKUP(Y41,'APP 2885'!$B$10:$G$54,6)*$R41)/($AI41+$AD41)),IF($AI41=0,"-",(VLOOKUP(AA41,'APP 2885'!$B$10:$G$54,6)*$R41)/($AI41+$AD41)))</f>
        <v>2.3855864510407891</v>
      </c>
      <c r="AM41" s="17">
        <f>IF(ISERROR(RU41/AB41),0,X41/AB41)</f>
        <v>1.1379426657038603</v>
      </c>
      <c r="AN41" s="18">
        <f>IF(ISERROR(X41/AB41),0,(X41+AD41)/AB41)</f>
        <v>1.2996544177723326</v>
      </c>
      <c r="AO41" s="108">
        <f>IF($B$2="Original",IF($AI41=0,"-",(VLOOKUP(Y41,'APP 2885'!$B$10:$G$54,4)*$R41)/($X41+$AD41)),IF($AI41=0,"-",(VLOOKUP(AA41,'APP 2885'!$B$10:$G$54,4)*$R41)/($X41+$AD41)))</f>
        <v>1.3091445837467932</v>
      </c>
    </row>
    <row r="42" spans="3:41" ht="20.100000000000001" customHeight="1" thickBot="1" x14ac:dyDescent="0.3">
      <c r="C42" s="119">
        <v>2</v>
      </c>
      <c r="D42" s="55" t="str">
        <f>E42&amp;"_"&amp;F42&amp;"_"&amp;G42</f>
        <v>ENERGY STAR Certified Homes + U.30 Window Glazing_Zone 3_Certified HERS 75</v>
      </c>
      <c r="E42" s="3" t="s">
        <v>47</v>
      </c>
      <c r="F42" s="3" t="s">
        <v>24</v>
      </c>
      <c r="G42" s="3" t="s">
        <v>48</v>
      </c>
      <c r="H42" s="3" t="str">
        <f>G42</f>
        <v>Certified HERS 75</v>
      </c>
      <c r="I42" s="4">
        <v>33</v>
      </c>
      <c r="J42" s="4">
        <v>33</v>
      </c>
      <c r="K42" s="4"/>
      <c r="L42" s="4">
        <f>(R42/Q42)</f>
        <v>156.27226346268887</v>
      </c>
      <c r="M42" s="131">
        <f>(I42*N42)/383018</f>
        <v>1.766235529400707E-2</v>
      </c>
      <c r="N42" s="70">
        <v>205</v>
      </c>
      <c r="O42" s="70">
        <f>IF(INDEX('Res Measure Mapping'!$R:$R,MATCH($D42,'Res Measure Mapping'!$B:$B,0))="N/A",N42,INDEX('Res Measure Mapping'!$R:$R,MATCH($D42,'Res Measure Mapping'!$B:$B,0)))</f>
        <v>48.510927882072011</v>
      </c>
      <c r="P42" s="70" t="str">
        <f>INDEX('Res Measure Mapping'!$S:$S,MATCH($D42,'Res Measure Mapping'!$B:$B,0))</f>
        <v>household</v>
      </c>
      <c r="Q42" s="70">
        <f>O42</f>
        <v>48.510927882072011</v>
      </c>
      <c r="R42" s="135">
        <f>M42*$R$92</f>
        <v>7580.9125028066564</v>
      </c>
      <c r="S42" s="5">
        <v>1142</v>
      </c>
      <c r="T42" s="76">
        <f>IF(INDEX('Res Measure Mapping'!$T:$T,MATCH($D42,'Res Measure Mapping'!$B:$B,0))="N/A",S42,INDEX('Res Measure Mapping'!$T:$T,MATCH($D42,'Res Measure Mapping'!$B:$B,0)))</f>
        <v>2154.5300000000002</v>
      </c>
      <c r="U42" s="5">
        <f>S42</f>
        <v>1142</v>
      </c>
      <c r="V42" s="5">
        <f>IF($B$2="Original",PV($F$96,$Y42,(-0.05*0.95*$N42)),PV($F$96,$AA42,(-0.05*0.95*$Q42)))</f>
        <v>42.916226573777038</v>
      </c>
      <c r="W42" s="5">
        <f>IF($B$2="Original",IF(ISNUMBER(S42),S42*L42,""),IF(ISNUMBER(U42),U42*L42,""))</f>
        <v>178462.92487439068</v>
      </c>
      <c r="X42" s="6">
        <f>W42-L42*(V42)</f>
        <v>171756.30900842894</v>
      </c>
      <c r="Y42" s="4">
        <v>30</v>
      </c>
      <c r="Z42" s="70">
        <f>IF(INDEX('Res Measure Mapping'!$U:$U,MATCH($D42,'Res Measure Mapping'!$B:$B,0))="N/A",Y42,INDEX('Res Measure Mapping'!$U:$U,MATCH($D42,'Res Measure Mapping'!$B:$B,0)))</f>
        <v>30</v>
      </c>
      <c r="AA42" s="4">
        <f>Z42</f>
        <v>30</v>
      </c>
      <c r="AB42" s="4">
        <f>IF($B$2="Original",PV($F$96,$Y42,-$R42),PV($F$96,$AA42,-$R42))</f>
        <v>141191.91296761544</v>
      </c>
      <c r="AC42" s="4">
        <f>IF($B$2="Original",PV($F$96,$Y42,-$R42),PV($F$96,$AA42,-$R42))</f>
        <v>141191.91296761544</v>
      </c>
      <c r="AD42" s="7">
        <f>(R42/$R$92)*$AD$92</f>
        <v>22832.391623892348</v>
      </c>
      <c r="AE42" s="5">
        <v>2000</v>
      </c>
      <c r="AF42" s="76">
        <f>ROUND(IF(INDEX('Res Measure Mapping'!$V:$V,MATCH($D42,'Res Measure Mapping'!$B:$B,0))="N/A",AE42,INDEX('Res Measure Mapping'!$V:$V,MATCH($D42,'Res Measure Mapping'!$B:$B,0))),0)</f>
        <v>1099</v>
      </c>
      <c r="AG42" s="70" t="str">
        <f>INDEX('Res Measure Mapping'!$S:$S,MATCH($D42,'Res Measure Mapping'!$B:$B,0))</f>
        <v>household</v>
      </c>
      <c r="AH42" s="5">
        <v>600</v>
      </c>
      <c r="AI42" s="5">
        <f>IF($B$2="Original",IF(ISNUMBER(AE42),AE42*L42,""),IF(ISNUMBER(AH42),AH42*L42,""))</f>
        <v>93763.358077613317</v>
      </c>
      <c r="AJ42" s="8">
        <f>IF(ISERROR(AI42/AC42),0,AI42/AC42)</f>
        <v>0.66408447981804308</v>
      </c>
      <c r="AK42" s="8">
        <f>IF(ISERROR((AD42+AI42)/AC42),0,(AD42+AI42)/AC42)</f>
        <v>0.82579623188651552</v>
      </c>
      <c r="AL42" s="81">
        <f>IF($B$2="Original",IF($AI42=0,"-",(VLOOKUP(Y42,'APP 2885'!$B$10:$G$54,6)*$R42)/($AI42+$AD42)),IF($AI42=0,"-",(VLOOKUP(AA42,'APP 2885'!$B$10:$G$54,6)*$R42)/($AI42+$AD42)))</f>
        <v>2.2663933591348311</v>
      </c>
      <c r="AM42" s="9">
        <f>IF(ISERROR(RU42/AB42),0,X42/AB42)</f>
        <v>1.2164741265870087</v>
      </c>
      <c r="AN42" s="10">
        <f>IF(ISERROR(X42/AB42),0,(X42+AD42)/AB42)</f>
        <v>1.378185878655481</v>
      </c>
      <c r="AO42" s="107">
        <f>IF($B$2="Original",IF($AI42=0,"-",(VLOOKUP(Y42,'APP 2885'!$B$10:$G$54,4)*$R42)/($X42+$AD42)),IF($AI42=0,"-",(VLOOKUP(AA42,'APP 2885'!$B$10:$G$54,4)*$R42)/($X42+$AD42)))</f>
        <v>1.2345472175561059</v>
      </c>
    </row>
    <row r="43" spans="3:41" ht="20.100000000000001" customHeight="1" thickBot="1" x14ac:dyDescent="0.3">
      <c r="C43" s="119">
        <v>2</v>
      </c>
      <c r="D43" s="55" t="str">
        <f>E43&amp;"_"&amp;F43&amp;"_"&amp;G43</f>
        <v>ENERGY STAR Certified Homes + U.30 Window Glazing_Zone 3_Certified HERS 75</v>
      </c>
      <c r="E43" s="11" t="s">
        <v>47</v>
      </c>
      <c r="F43" s="11" t="s">
        <v>24</v>
      </c>
      <c r="G43" s="11" t="s">
        <v>48</v>
      </c>
      <c r="H43" s="11" t="str">
        <f>G43</f>
        <v>Certified HERS 75</v>
      </c>
      <c r="I43" s="12">
        <v>1</v>
      </c>
      <c r="J43" s="12">
        <v>1</v>
      </c>
      <c r="K43" s="12"/>
      <c r="L43" s="12">
        <f>(R43/Q43)</f>
        <v>4.7817233609425864</v>
      </c>
      <c r="M43" s="132">
        <f>(I43*N43)/383018</f>
        <v>5.4044457440642472E-4</v>
      </c>
      <c r="N43" s="71">
        <v>207</v>
      </c>
      <c r="O43" s="73">
        <f>IF(INDEX('Res Measure Mapping'!$R:$R,MATCH($D43,'Res Measure Mapping'!$B:$B,0))="N/A",N43,INDEX('Res Measure Mapping'!$R:$R,MATCH($D43,'Res Measure Mapping'!$B:$B,0)))</f>
        <v>48.510927882072011</v>
      </c>
      <c r="P43" s="73" t="str">
        <f>INDEX('Res Measure Mapping'!$S:$S,MATCH($D43,'Res Measure Mapping'!$B:$B,0))</f>
        <v>household</v>
      </c>
      <c r="Q43" s="71">
        <f>O43</f>
        <v>48.510927882072011</v>
      </c>
      <c r="R43" s="136">
        <f>M43*$R$92</f>
        <v>231.96583711470478</v>
      </c>
      <c r="S43" s="13">
        <v>1142</v>
      </c>
      <c r="T43" s="77">
        <f>IF(INDEX('Res Measure Mapping'!$T:$T,MATCH($D43,'Res Measure Mapping'!$B:$B,0))="N/A",S43,INDEX('Res Measure Mapping'!$T:$T,MATCH($D43,'Res Measure Mapping'!$B:$B,0)))</f>
        <v>2154.5300000000002</v>
      </c>
      <c r="U43" s="13">
        <f>S43</f>
        <v>1142</v>
      </c>
      <c r="V43" s="13">
        <f>IF($B$2="Original",PV($F$96,$Y43,(-0.05*0.95*$N43)),PV($F$96,$AA43,(-0.05*0.95*$Q43)))</f>
        <v>42.916226573777038</v>
      </c>
      <c r="W43" s="13">
        <f>IF($B$2="Original",IF(ISNUMBER(S43),S43*L43,""),IF(ISNUMBER(U43),U43*L43,""))</f>
        <v>5460.7280781964337</v>
      </c>
      <c r="X43" s="14">
        <f>W43-L43*(V43)</f>
        <v>5255.5145550250991</v>
      </c>
      <c r="Y43" s="12">
        <v>30</v>
      </c>
      <c r="Z43" s="73">
        <f>IF(INDEX('Res Measure Mapping'!$U:$U,MATCH($D43,'Res Measure Mapping'!$B:$B,0))="N/A",Y43,INDEX('Res Measure Mapping'!$U:$U,MATCH($D43,'Res Measure Mapping'!$B:$B,0)))</f>
        <v>30</v>
      </c>
      <c r="AA43" s="12">
        <f>Z43</f>
        <v>30</v>
      </c>
      <c r="AB43" s="12">
        <f>IF($B$2="Original",PV($F$96,$Y43,-$R43),PV($F$96,$AA43,-$R43))</f>
        <v>4320.2846983438876</v>
      </c>
      <c r="AC43" s="12">
        <f>IF($B$2="Original",PV($F$96,$Y43,-$R43),PV($F$96,$AA43,-$R43))</f>
        <v>4320.2846983438876</v>
      </c>
      <c r="AD43" s="15">
        <f>(R43/$R$92)*$AD$92</f>
        <v>698.64080800380134</v>
      </c>
      <c r="AE43" s="13">
        <v>2000</v>
      </c>
      <c r="AF43" s="77">
        <f>ROUND(IF(INDEX('Res Measure Mapping'!$V:$V,MATCH($D43,'Res Measure Mapping'!$B:$B,0))="N/A",AE43,INDEX('Res Measure Mapping'!$V:$V,MATCH($D43,'Res Measure Mapping'!$B:$B,0))),0)</f>
        <v>1099</v>
      </c>
      <c r="AG43" s="73" t="str">
        <f>INDEX('Res Measure Mapping'!$S:$S,MATCH($D43,'Res Measure Mapping'!$B:$B,0))</f>
        <v>household</v>
      </c>
      <c r="AH43" s="13">
        <v>600</v>
      </c>
      <c r="AI43" s="13">
        <f>IF($B$2="Original",IF(ISNUMBER(AE43),AE43*L43,""),IF(ISNUMBER(AH43),AH43*L43,""))</f>
        <v>2869.0340165655521</v>
      </c>
      <c r="AJ43" s="16">
        <f>IF(ISERROR(AI43/AC43),0,AI43/AC43)</f>
        <v>0.66408447981804319</v>
      </c>
      <c r="AK43" s="16">
        <f>IF(ISERROR((AD43+AI43)/AC43),0,(AD43+AI43)/AC43)</f>
        <v>0.82579623188651541</v>
      </c>
      <c r="AL43" s="82">
        <f>IF($B$2="Original",IF($AI43=0,"-",(VLOOKUP(Y43,'APP 2885'!$B$10:$G$54,6)*$R43)/($AI43+$AD43)),IF($AI43=0,"-",(VLOOKUP(AA43,'APP 2885'!$B$10:$G$54,6)*$R43)/($AI43+$AD43)))</f>
        <v>2.2663933591348306</v>
      </c>
      <c r="AM43" s="17">
        <f>IF(ISERROR(RU43/AB43),0,X43/AB43)</f>
        <v>1.2164741265870087</v>
      </c>
      <c r="AN43" s="18">
        <f>IF(ISERROR(X43/AB43),0,(X43+AD43)/AB43)</f>
        <v>1.3781858786554808</v>
      </c>
      <c r="AO43" s="108">
        <f>IF($B$2="Original",IF($AI43=0,"-",(VLOOKUP(Y43,'APP 2885'!$B$10:$G$54,4)*$R43)/($X43+$AD43)),IF($AI43=0,"-",(VLOOKUP(AA43,'APP 2885'!$B$10:$G$54,4)*$R43)/($X43+$AD43)))</f>
        <v>1.2345472175561059</v>
      </c>
    </row>
    <row r="44" spans="3:41" ht="20.100000000000001" customHeight="1" thickBot="1" x14ac:dyDescent="0.3">
      <c r="C44" s="119">
        <v>6</v>
      </c>
      <c r="D44" s="55" t="str">
        <f>E44&amp;"_"&amp;F44&amp;"_"&amp;G44</f>
        <v>Floor Insulation_Zone 1_Post R 30+, or to fill cavity</v>
      </c>
      <c r="E44" s="3" t="s">
        <v>49</v>
      </c>
      <c r="F44" s="3" t="s">
        <v>21</v>
      </c>
      <c r="G44" s="3" t="s">
        <v>50</v>
      </c>
      <c r="H44" s="3" t="str">
        <f>G44</f>
        <v>Post R 30+, or to fill cavity</v>
      </c>
      <c r="I44" s="4">
        <v>298</v>
      </c>
      <c r="J44" s="4">
        <v>305</v>
      </c>
      <c r="K44" s="4">
        <v>355704</v>
      </c>
      <c r="L44" s="4">
        <f>(R44/Q44)</f>
        <v>647044.56588134274</v>
      </c>
      <c r="M44" s="131">
        <f>(K44*N44)/383018</f>
        <v>5.2006495778266291E-2</v>
      </c>
      <c r="N44" s="70">
        <v>5.6000000000000001E-2</v>
      </c>
      <c r="O44" s="70">
        <f>IF(INDEX('Res Measure Mapping'!$R:$R,MATCH($D44,'Res Measure Mapping'!$B:$B,0))="N/A",N44,INDEX('Res Measure Mapping'!$R:$R,MATCH($D44,'Res Measure Mapping'!$B:$B,0)))</f>
        <v>3.44981864457393E-2</v>
      </c>
      <c r="P44" s="70" t="str">
        <f>INDEX('Res Measure Mapping'!$S:$S,MATCH($D44,'Res Measure Mapping'!$B:$B,0))</f>
        <v>sqft floor</v>
      </c>
      <c r="Q44" s="70">
        <f>O44</f>
        <v>3.44981864457393E-2</v>
      </c>
      <c r="R44" s="135">
        <f>M44*$R$92</f>
        <v>22321.864072477008</v>
      </c>
      <c r="S44" s="5">
        <v>1.08</v>
      </c>
      <c r="T44" s="76">
        <f>IF(INDEX('Res Measure Mapping'!$T:$T,MATCH($D44,'Res Measure Mapping'!$B:$B,0))="N/A",S44,INDEX('Res Measure Mapping'!$T:$T,MATCH($D44,'Res Measure Mapping'!$B:$B,0)))</f>
        <v>1.5599999999999998</v>
      </c>
      <c r="U44" s="5">
        <f>S44</f>
        <v>1.08</v>
      </c>
      <c r="V44" s="5">
        <f>IF($B$2="Original",PV($F$96,$Y44,(-0.05*0.95*$N44)),PV($F$96,$AA44,(-0.05*0.95*$Q44)))</f>
        <v>3.7490994738167915E-2</v>
      </c>
      <c r="W44" s="5">
        <f>IF($B$2="Original",IF(ISNUMBER(S44),S44*L44,""),IF(ISNUMBER(U44),U44*L44,""))</f>
        <v>698808.13115185022</v>
      </c>
      <c r="X44" s="6">
        <f>W44-L44*(V44)</f>
        <v>674549.7867370327</v>
      </c>
      <c r="Y44" s="4">
        <v>45</v>
      </c>
      <c r="Z44" s="70">
        <f>IF(INDEX('Res Measure Mapping'!$U:$U,MATCH($D44,'Res Measure Mapping'!$B:$B,0))="N/A",Y44,INDEX('Res Measure Mapping'!$U:$U,MATCH($D44,'Res Measure Mapping'!$B:$B,0)))</f>
        <v>45</v>
      </c>
      <c r="AA44" s="4">
        <f>Z44</f>
        <v>45</v>
      </c>
      <c r="AB44" s="4">
        <f>IF($B$2="Original",PV($F$96,$Y44,-$R44),PV($F$96,$AA44,-$R44))</f>
        <v>510701.98768036981</v>
      </c>
      <c r="AC44" s="4">
        <f>IF($B$2="Original",PV($F$96,$Y44,-$R44),PV($F$96,$AA44,-$R44))</f>
        <v>510701.98768036981</v>
      </c>
      <c r="AD44" s="7">
        <f>(R44/$R$92)*$AD$92</f>
        <v>67229.57719000151</v>
      </c>
      <c r="AE44" s="5">
        <v>0.75</v>
      </c>
      <c r="AF44" s="76">
        <f>ROUND(IF(INDEX('Res Measure Mapping'!$V:$V,MATCH($D44,'Res Measure Mapping'!$B:$B,0))="N/A",AE44,INDEX('Res Measure Mapping'!$V:$V,MATCH($D44,'Res Measure Mapping'!$B:$B,0))),0)</f>
        <v>1</v>
      </c>
      <c r="AG44" s="70" t="str">
        <f>INDEX('Res Measure Mapping'!$S:$S,MATCH($D44,'Res Measure Mapping'!$B:$B,0))</f>
        <v>sqft floor</v>
      </c>
      <c r="AH44" s="5">
        <v>1.25</v>
      </c>
      <c r="AI44" s="5">
        <f>IF($B$2="Original",IF(ISNUMBER(AE44),AE44*L44,""),IF(ISNUMBER(AH44),AH44*L44,""))</f>
        <v>808805.7073516784</v>
      </c>
      <c r="AJ44" s="8">
        <f>IF(ISERROR(AI44/AC44),0,AI44/AC44)</f>
        <v>1.5837136468281794</v>
      </c>
      <c r="AK44" s="8">
        <f>IF(ISERROR((AD44+AI44)/AC44),0,(AD44+AI44)/AC44)</f>
        <v>1.7153551497237547</v>
      </c>
      <c r="AL44" s="81">
        <f>IF($B$2="Original",IF($AI44=0,"-",(VLOOKUP(Y44,'APP 2885'!$B$10:$G$54,6)*$R44)/($AI44+$AD44)),IF($AI44=0,"-",(VLOOKUP(AA44,'APP 2885'!$B$10:$G$54,6)*$R44)/($AI44+$AD44)))</f>
        <v>1.5611076834309019</v>
      </c>
      <c r="AM44" s="9">
        <f>IF(ISERROR(RU44/AB44),0,X44/AB44)</f>
        <v>1.3208285908595472</v>
      </c>
      <c r="AN44" s="10">
        <f>IF(ISERROR(X44/AB44),0,(X44+AD44)/AB44)</f>
        <v>1.4524700937551225</v>
      </c>
      <c r="AO44" s="107">
        <f>IF($B$2="Original",IF($AI44=0,"-",(VLOOKUP(Y44,'APP 2885'!$B$10:$G$54,4)*$R44)/($X44+$AD44)),IF($AI44=0,"-",(VLOOKUP(AA44,'APP 2885'!$B$10:$G$54,4)*$R44)/($X44+$AD44)))</f>
        <v>1.6760502211558086</v>
      </c>
    </row>
    <row r="45" spans="3:41" ht="20.100000000000001" customHeight="1" thickBot="1" x14ac:dyDescent="0.3">
      <c r="C45" s="119">
        <v>6</v>
      </c>
      <c r="D45" s="55" t="str">
        <f>E45&amp;"_"&amp;F45&amp;"_"&amp;G45</f>
        <v>Floor Insulation_Zone 2_Post R 30+, or to fill cavity</v>
      </c>
      <c r="E45" s="11" t="s">
        <v>49</v>
      </c>
      <c r="F45" s="11" t="s">
        <v>23</v>
      </c>
      <c r="G45" s="11" t="s">
        <v>50</v>
      </c>
      <c r="H45" s="11" t="str">
        <f>G45</f>
        <v>Post R 30+, or to fill cavity</v>
      </c>
      <c r="I45" s="12">
        <v>51</v>
      </c>
      <c r="J45" s="12">
        <v>52</v>
      </c>
      <c r="K45" s="12">
        <v>57342</v>
      </c>
      <c r="L45" s="12">
        <f>(R45/Q45)</f>
        <v>80064.447261652545</v>
      </c>
      <c r="M45" s="132">
        <f>(K45*N45)/383018</f>
        <v>8.0843929005947491E-3</v>
      </c>
      <c r="N45" s="71">
        <v>5.3999999999999999E-2</v>
      </c>
      <c r="O45" s="73">
        <f>IF(INDEX('Res Measure Mapping'!$R:$R,MATCH($D45,'Res Measure Mapping'!$B:$B,0))="N/A",N45,INDEX('Res Measure Mapping'!$R:$R,MATCH($D45,'Res Measure Mapping'!$B:$B,0)))</f>
        <v>4.333916799179504E-2</v>
      </c>
      <c r="P45" s="73" t="str">
        <f>INDEX('Res Measure Mapping'!$S:$S,MATCH($D45,'Res Measure Mapping'!$B:$B,0))</f>
        <v>sqft floor</v>
      </c>
      <c r="Q45" s="71">
        <f>O45</f>
        <v>4.333916799179504E-2</v>
      </c>
      <c r="R45" s="136">
        <f>M45*$R$92</f>
        <v>3469.9265300429743</v>
      </c>
      <c r="S45" s="13">
        <v>1.08</v>
      </c>
      <c r="T45" s="77">
        <f>IF(INDEX('Res Measure Mapping'!$T:$T,MATCH($D45,'Res Measure Mapping'!$B:$B,0))="N/A",S45,INDEX('Res Measure Mapping'!$T:$T,MATCH($D45,'Res Measure Mapping'!$B:$B,0)))</f>
        <v>1.5599999999999998</v>
      </c>
      <c r="U45" s="13">
        <f>S45</f>
        <v>1.08</v>
      </c>
      <c r="V45" s="13">
        <f>IF($B$2="Original",PV($F$96,$Y45,(-0.05*0.95*$N45)),PV($F$96,$AA45,(-0.05*0.95*$Q45)))</f>
        <v>4.7098954656430582E-2</v>
      </c>
      <c r="W45" s="13">
        <f>IF($B$2="Original",IF(ISNUMBER(S45),S45*L45,""),IF(ISNUMBER(U45),U45*L45,""))</f>
        <v>86469.603042584757</v>
      </c>
      <c r="X45" s="14">
        <f>W45-L45*(V45)</f>
        <v>82698.651271416005</v>
      </c>
      <c r="Y45" s="12">
        <v>45</v>
      </c>
      <c r="Z45" s="73">
        <f>IF(INDEX('Res Measure Mapping'!$U:$U,MATCH($D45,'Res Measure Mapping'!$B:$B,0))="N/A",Y45,INDEX('Res Measure Mapping'!$U:$U,MATCH($D45,'Res Measure Mapping'!$B:$B,0)))</f>
        <v>45</v>
      </c>
      <c r="AA45" s="12">
        <f>Z45</f>
        <v>45</v>
      </c>
      <c r="AB45" s="12">
        <f>IF($B$2="Original",PV($F$96,$Y45,-$R45),PV($F$96,$AA45,-$R45))</f>
        <v>79388.458340394762</v>
      </c>
      <c r="AC45" s="12">
        <f>IF($B$2="Original",PV($F$96,$Y45,-$R45),PV($F$96,$AA45,-$R45))</f>
        <v>79388.458340394762</v>
      </c>
      <c r="AD45" s="15">
        <f>(R45/$R$92)*$AD$92</f>
        <v>10450.815968492341</v>
      </c>
      <c r="AE45" s="13">
        <v>0.75</v>
      </c>
      <c r="AF45" s="77">
        <f>ROUND(IF(INDEX('Res Measure Mapping'!$V:$V,MATCH($D45,'Res Measure Mapping'!$B:$B,0))="N/A",AE45,INDEX('Res Measure Mapping'!$V:$V,MATCH($D45,'Res Measure Mapping'!$B:$B,0))),0)</f>
        <v>1</v>
      </c>
      <c r="AG45" s="73" t="str">
        <f>INDEX('Res Measure Mapping'!$S:$S,MATCH($D45,'Res Measure Mapping'!$B:$B,0))</f>
        <v>sqft floor</v>
      </c>
      <c r="AH45" s="13">
        <v>1.25</v>
      </c>
      <c r="AI45" s="13">
        <f>IF($B$2="Original",IF(ISNUMBER(AE45),AE45*L45,""),IF(ISNUMBER(AH45),AH45*L45,""))</f>
        <v>100080.55907706569</v>
      </c>
      <c r="AJ45" s="16">
        <f>IF(ISERROR(AI45/AC45),0,AI45/AC45)</f>
        <v>1.2606436901438389</v>
      </c>
      <c r="AK45" s="16">
        <f>IF(ISERROR((AD45+AI45)/AC45),0,(AD45+AI45)/AC45)</f>
        <v>1.3922851930394144</v>
      </c>
      <c r="AL45" s="82">
        <f>IF($B$2="Original",IF($AI45=0,"-",(VLOOKUP(Y45,'APP 2885'!$B$10:$G$54,6)*$R45)/($AI45+$AD45)),IF($AI45=0,"-",(VLOOKUP(AA45,'APP 2885'!$B$10:$G$54,6)*$R45)/($AI45+$AD45)))</f>
        <v>1.9233517079935722</v>
      </c>
      <c r="AM45" s="17">
        <f>IF(ISERROR(RU45/AB45),0,X45/AB45)</f>
        <v>1.041696148284277</v>
      </c>
      <c r="AN45" s="18">
        <f>IF(ISERROR(X45/AB45),0,(X45+AD45)/AB45)</f>
        <v>1.1733376511798523</v>
      </c>
      <c r="AO45" s="108">
        <f>IF($B$2="Original",IF($AI45=0,"-",(VLOOKUP(Y45,'APP 2885'!$B$10:$G$54,4)*$R45)/($X45+$AD45)),IF($AI45=0,"-",(VLOOKUP(AA45,'APP 2885'!$B$10:$G$54,4)*$R45)/($X45+$AD45)))</f>
        <v>2.074776019854593</v>
      </c>
    </row>
    <row r="46" spans="3:41" ht="20.100000000000001" customHeight="1" thickBot="1" x14ac:dyDescent="0.3">
      <c r="C46" s="119">
        <v>6</v>
      </c>
      <c r="D46" s="55" t="str">
        <f>E46&amp;"_"&amp;F46&amp;"_"&amp;G46</f>
        <v>Floor Insulation_Zone 3_Post R 30+, or to fill cavity</v>
      </c>
      <c r="E46" s="3" t="s">
        <v>49</v>
      </c>
      <c r="F46" s="3" t="s">
        <v>24</v>
      </c>
      <c r="G46" s="3" t="s">
        <v>50</v>
      </c>
      <c r="H46" s="3" t="str">
        <f>G46</f>
        <v>Post R 30+, or to fill cavity</v>
      </c>
      <c r="I46" s="4">
        <v>39</v>
      </c>
      <c r="J46" s="4">
        <v>39</v>
      </c>
      <c r="K46" s="4">
        <v>51865</v>
      </c>
      <c r="L46" s="4">
        <f>(R46/Q46)</f>
        <v>79122.410073771462</v>
      </c>
      <c r="M46" s="131">
        <f>(K46*N46)/383018</f>
        <v>7.9892720446558645E-3</v>
      </c>
      <c r="N46" s="70">
        <v>5.8999999999999997E-2</v>
      </c>
      <c r="O46" s="70">
        <f>IF(INDEX('Res Measure Mapping'!$R:$R,MATCH($D46,'Res Measure Mapping'!$B:$B,0))="N/A",N46,INDEX('Res Measure Mapping'!$R:$R,MATCH($D46,'Res Measure Mapping'!$B:$B,0)))</f>
        <v>4.333916799179504E-2</v>
      </c>
      <c r="P46" s="70" t="str">
        <f>INDEX('Res Measure Mapping'!$S:$S,MATCH($D46,'Res Measure Mapping'!$B:$B,0))</f>
        <v>sqft floor</v>
      </c>
      <c r="Q46" s="70">
        <f>O46</f>
        <v>4.333916799179504E-2</v>
      </c>
      <c r="R46" s="135">
        <f>M46*$R$92</f>
        <v>3429.0994221028777</v>
      </c>
      <c r="S46" s="5">
        <v>1.08</v>
      </c>
      <c r="T46" s="76">
        <f>IF(INDEX('Res Measure Mapping'!$T:$T,MATCH($D46,'Res Measure Mapping'!$B:$B,0))="N/A",S46,INDEX('Res Measure Mapping'!$T:$T,MATCH($D46,'Res Measure Mapping'!$B:$B,0)))</f>
        <v>1.5599999999999998</v>
      </c>
      <c r="U46" s="5">
        <f>S46</f>
        <v>1.08</v>
      </c>
      <c r="V46" s="5">
        <f>IF($B$2="Original",PV($F$96,$Y46,(-0.05*0.95*$N46)),PV($F$96,$AA46,(-0.05*0.95*$Q46)))</f>
        <v>4.7098954656430582E-2</v>
      </c>
      <c r="W46" s="5">
        <f>IF($B$2="Original",IF(ISNUMBER(S46),S46*L46,""),IF(ISNUMBER(U46),U46*L46,""))</f>
        <v>85452.20287967319</v>
      </c>
      <c r="X46" s="6">
        <f>W46-L46*(V46)</f>
        <v>81725.620075301122</v>
      </c>
      <c r="Y46" s="4">
        <v>45</v>
      </c>
      <c r="Z46" s="70">
        <f>IF(INDEX('Res Measure Mapping'!$U:$U,MATCH($D46,'Res Measure Mapping'!$B:$B,0))="N/A",Y46,INDEX('Res Measure Mapping'!$U:$U,MATCH($D46,'Res Measure Mapping'!$B:$B,0)))</f>
        <v>45</v>
      </c>
      <c r="AA46" s="4">
        <f>Z46</f>
        <v>45</v>
      </c>
      <c r="AB46" s="4">
        <f>IF($B$2="Original",PV($F$96,$Y46,-$R46),PV($F$96,$AA46,-$R46))</f>
        <v>78454.374828885644</v>
      </c>
      <c r="AC46" s="4">
        <f>IF($B$2="Original",PV($F$96,$Y46,-$R46),PV($F$96,$AA46,-$R46))</f>
        <v>78454.374828885644</v>
      </c>
      <c r="AD46" s="7">
        <f>(R46/$R$92)*$AD$92</f>
        <v>10327.851811207305</v>
      </c>
      <c r="AE46" s="5">
        <v>0.75</v>
      </c>
      <c r="AF46" s="76">
        <f>ROUND(IF(INDEX('Res Measure Mapping'!$V:$V,MATCH($D46,'Res Measure Mapping'!$B:$B,0))="N/A",AE46,INDEX('Res Measure Mapping'!$V:$V,MATCH($D46,'Res Measure Mapping'!$B:$B,0))),0)</f>
        <v>1</v>
      </c>
      <c r="AG46" s="70" t="str">
        <f>INDEX('Res Measure Mapping'!$S:$S,MATCH($D46,'Res Measure Mapping'!$B:$B,0))</f>
        <v>sqft floor</v>
      </c>
      <c r="AH46" s="5">
        <v>1.25</v>
      </c>
      <c r="AI46" s="5">
        <f>IF($B$2="Original",IF(ISNUMBER(AE46),AE46*L46,""),IF(ISNUMBER(AH46),AH46*L46,""))</f>
        <v>98903.012592214334</v>
      </c>
      <c r="AJ46" s="8">
        <f>IF(ISERROR(AI46/AC46),0,AI46/AC46)</f>
        <v>1.2606436901438391</v>
      </c>
      <c r="AK46" s="8">
        <f>IF(ISERROR((AD46+AI46)/AC46),0,(AD46+AI46)/AC46)</f>
        <v>1.3922851930394147</v>
      </c>
      <c r="AL46" s="81">
        <f>IF($B$2="Original",IF($AI46=0,"-",(VLOOKUP(Y46,'APP 2885'!$B$10:$G$54,6)*$R46)/($AI46+$AD46)),IF($AI46=0,"-",(VLOOKUP(AA46,'APP 2885'!$B$10:$G$54,6)*$R46)/($AI46+$AD46)))</f>
        <v>1.9233517079935722</v>
      </c>
      <c r="AM46" s="9">
        <f>IF(ISERROR(RU46/AB46),0,X46/AB46)</f>
        <v>1.0416961482842773</v>
      </c>
      <c r="AN46" s="10">
        <f>IF(ISERROR(X46/AB46),0,(X46+AD46)/AB46)</f>
        <v>1.1733376511798526</v>
      </c>
      <c r="AO46" s="107">
        <f>IF($B$2="Original",IF($AI46=0,"-",(VLOOKUP(Y46,'APP 2885'!$B$10:$G$54,4)*$R46)/($X46+$AD46)),IF($AI46=0,"-",(VLOOKUP(AA46,'APP 2885'!$B$10:$G$54,4)*$R46)/($X46+$AD46)))</f>
        <v>2.074776019854593</v>
      </c>
    </row>
    <row r="47" spans="3:41" ht="31.5" customHeight="1" thickBot="1" x14ac:dyDescent="0.3">
      <c r="C47" s="119">
        <v>13</v>
      </c>
      <c r="D47" s="55" t="str">
        <f>E47&amp;"_"&amp;F47&amp;"_"&amp;G47</f>
        <v>High-Efficiency Combination Domestic Hot Water &amp; Hydronic Space Heating System_Zone 1_95+% (AFUE) Hydronic Space Heating &amp; DHW</v>
      </c>
      <c r="E47" s="11" t="s">
        <v>87</v>
      </c>
      <c r="F47" s="11" t="s">
        <v>21</v>
      </c>
      <c r="G47" s="11" t="s">
        <v>89</v>
      </c>
      <c r="H47" s="11" t="str">
        <f>G47</f>
        <v>95+% (AFUE) Hydronic Space Heating &amp; DHW</v>
      </c>
      <c r="I47" s="12">
        <v>43</v>
      </c>
      <c r="J47" s="12">
        <v>43</v>
      </c>
      <c r="K47" s="12"/>
      <c r="L47" s="12">
        <f>(R47/Q47)</f>
        <v>10.14681470550455</v>
      </c>
      <c r="M47" s="132">
        <v>3.5217235955985436E-3</v>
      </c>
      <c r="N47" s="71">
        <v>159</v>
      </c>
      <c r="O47" s="73">
        <f>IF(INDEX('Res Measure Mapping'!$R:$R,MATCH($D47,'Res Measure Mapping'!$B:$B,0))="N/A",N47,INDEX('Res Measure Mapping'!$R:$R,MATCH($D47,'Res Measure Mapping'!$B:$B,0)))</f>
        <v>148.96985837512395</v>
      </c>
      <c r="P47" s="73" t="str">
        <f>INDEX('Res Measure Mapping'!$S:$S,MATCH($D47,'Res Measure Mapping'!$B:$B,0))</f>
        <v>household</v>
      </c>
      <c r="Q47" s="71">
        <f>O47</f>
        <v>148.96985837512395</v>
      </c>
      <c r="R47" s="136">
        <f>M47*$R$92</f>
        <v>1511.5695496376377</v>
      </c>
      <c r="S47" s="13">
        <v>2500</v>
      </c>
      <c r="T47" s="77">
        <f>IF(INDEX('Res Measure Mapping'!$T:$T,MATCH($D47,'Res Measure Mapping'!$B:$B,0))="N/A",S47,INDEX('Res Measure Mapping'!$T:$T,MATCH($D47,'Res Measure Mapping'!$B:$B,0)))</f>
        <v>5190.57</v>
      </c>
      <c r="U47" s="13">
        <f>T47</f>
        <v>5190.57</v>
      </c>
      <c r="V47" s="13">
        <f>IF($B$2="Original",PV($F$96,$Y47,(-0.05*0.95*$N47)),PV($F$96,$AA47,(-0.05*0.95*$Q47)))</f>
        <v>104.99042309094028</v>
      </c>
      <c r="W47" s="13">
        <f>IF($B$2="Original",IF(ISNUMBER(S47),S47*L47,""),IF(ISNUMBER(U47),U47*L47,""))</f>
        <v>52667.752005950751</v>
      </c>
      <c r="X47" s="14">
        <f>W47-L47*(V47)</f>
        <v>51602.433636994458</v>
      </c>
      <c r="Y47" s="12">
        <v>21</v>
      </c>
      <c r="Z47" s="73">
        <f>IF(INDEX('Res Measure Mapping'!$U:$U,MATCH($D47,'Res Measure Mapping'!$B:$B,0))="N/A",Y47,INDEX('Res Measure Mapping'!$U:$U,MATCH($D47,'Res Measure Mapping'!$B:$B,0)))</f>
        <v>21</v>
      </c>
      <c r="AA47" s="12">
        <f>Z47</f>
        <v>21</v>
      </c>
      <c r="AB47" s="12">
        <f>IF($B$2="Original",PV($F$96,$Y47,-$R47),PV($F$96,$AA47,-$R47))</f>
        <v>22427.755135922045</v>
      </c>
      <c r="AC47" s="12">
        <f>IF($B$2="Original",PV($F$96,$Y47,-$R47),PV($F$96,$AA47,-$R47))</f>
        <v>22427.755135922045</v>
      </c>
      <c r="AD47" s="15">
        <f>(R47/$R$92)*$AD$92</f>
        <v>4552.5849178841709</v>
      </c>
      <c r="AE47" s="13">
        <v>1250</v>
      </c>
      <c r="AF47" s="77">
        <f>ROUND(IF(INDEX('Res Measure Mapping'!$V:$V,MATCH($D47,'Res Measure Mapping'!$B:$B,0))="N/A",AE47,INDEX('Res Measure Mapping'!$V:$V,MATCH($D47,'Res Measure Mapping'!$B:$B,0))),0)</f>
        <v>600</v>
      </c>
      <c r="AG47" s="73" t="str">
        <f>INDEX('Res Measure Mapping'!$S:$S,MATCH($D47,'Res Measure Mapping'!$B:$B,0))</f>
        <v>household</v>
      </c>
      <c r="AH47" s="13">
        <v>1500</v>
      </c>
      <c r="AI47" s="13">
        <f>IF($B$2="Original",IF(ISNUMBER(AE47),AE47*L47,""),IF(ISNUMBER(AH47),AH47*L47,""))</f>
        <v>15220.222058256824</v>
      </c>
      <c r="AJ47" s="16">
        <f>IF(ISERROR(AI47/AC47),0,AI47/AC47)</f>
        <v>0.67863332580615376</v>
      </c>
      <c r="AK47" s="16">
        <f>IF(ISERROR((AD47+AI47)/AC47),0,(AD47+AI47)/AC47)</f>
        <v>0.88162220678392023</v>
      </c>
      <c r="AL47" s="82">
        <f>IF($B$2="Original",IF($AI47=0,"-",(VLOOKUP(Y47,'APP 2885'!$B$10:$G$54,6)*$R47)/($AI47+$AD47)),IF($AI47=0,"-",(VLOOKUP(AA47,'APP 2885'!$B$10:$G$54,6)*$R47)/($AI47+$AD47)))</f>
        <v>1.7118610211393361</v>
      </c>
      <c r="AM47" s="17">
        <f>IF(ISERROR(RU47/AB47),0,X47/AB47)</f>
        <v>2.3008291879530987</v>
      </c>
      <c r="AN47" s="18">
        <f>IF(ISERROR(X47/AB47),0,(X47+AD47)/AB47)</f>
        <v>2.5038180689308649</v>
      </c>
      <c r="AO47" s="108">
        <f>IF($B$2="Original",IF($AI47=0,"-",(VLOOKUP(Y47,'APP 2885'!$B$10:$G$54,4)*$R47)/($X47+$AD47)),IF($AI47=0,"-",(VLOOKUP(AA47,'APP 2885'!$B$10:$G$54,4)*$R47)/($X47+$AD47)))</f>
        <v>0.54796846968585999</v>
      </c>
    </row>
    <row r="48" spans="3:41" ht="30.6" customHeight="1" thickBot="1" x14ac:dyDescent="0.3">
      <c r="C48" s="119">
        <v>13</v>
      </c>
      <c r="D48" s="55" t="str">
        <f>E48&amp;"_"&amp;F48&amp;"_"&amp;G48</f>
        <v>High-Efficiency Combination Domestic Hot Water &amp; Hydronic Space Heating System_Zone 2_95+%  (AFUE) Hydronic Space Heating &amp; DHW</v>
      </c>
      <c r="E48" s="3" t="s">
        <v>87</v>
      </c>
      <c r="F48" s="3" t="s">
        <v>23</v>
      </c>
      <c r="G48" s="3" t="s">
        <v>90</v>
      </c>
      <c r="H48" s="3" t="str">
        <f>G48</f>
        <v>95+%  (AFUE) Hydronic Space Heating &amp; DHW</v>
      </c>
      <c r="I48" s="4">
        <v>7</v>
      </c>
      <c r="J48" s="4">
        <v>7</v>
      </c>
      <c r="K48" s="4"/>
      <c r="L48" s="4">
        <f>(R48/Q48)</f>
        <v>3.5319222890601232</v>
      </c>
      <c r="M48" s="131">
        <v>1.2017059543515643E-3</v>
      </c>
      <c r="N48" s="70">
        <v>160</v>
      </c>
      <c r="O48" s="70">
        <f>IF(INDEX('Res Measure Mapping'!$R:$R,MATCH($D48,'Res Measure Mapping'!$B:$B,0))="N/A",N48,INDEX('Res Measure Mapping'!$R:$R,MATCH($D48,'Res Measure Mapping'!$B:$B,0)))</f>
        <v>146.03600407141286</v>
      </c>
      <c r="P48" s="70" t="str">
        <f>INDEX('Res Measure Mapping'!$S:$S,MATCH($D48,'Res Measure Mapping'!$B:$B,0))</f>
        <v>household</v>
      </c>
      <c r="Q48" s="70">
        <f>O48</f>
        <v>146.03600407141286</v>
      </c>
      <c r="R48" s="135">
        <f>M48*$R$92</f>
        <v>515.78781778509801</v>
      </c>
      <c r="S48" s="5">
        <v>2500</v>
      </c>
      <c r="T48" s="76">
        <f>IF(INDEX('Res Measure Mapping'!$T:$T,MATCH($D48,'Res Measure Mapping'!$B:$B,0))="N/A",S48,INDEX('Res Measure Mapping'!$T:$T,MATCH($D48,'Res Measure Mapping'!$B:$B,0)))</f>
        <v>5190.57</v>
      </c>
      <c r="U48" s="5">
        <f>T48</f>
        <v>5190.57</v>
      </c>
      <c r="V48" s="5">
        <f>IF($B$2="Original",PV($F$96,$Y48,(-0.05*0.95*$N48)),PV($F$96,$AA48,(-0.05*0.95*$Q48)))</f>
        <v>102.92271215938959</v>
      </c>
      <c r="W48" s="5">
        <f>IF($B$2="Original",IF(ISNUMBER(S48),S48*L48,""),IF(ISNUMBER(U48),U48*L48,""))</f>
        <v>18332.689875926804</v>
      </c>
      <c r="X48" s="6">
        <f>W48-L48*(V48)</f>
        <v>17969.174854800538</v>
      </c>
      <c r="Y48" s="4">
        <v>21</v>
      </c>
      <c r="Z48" s="70">
        <f>IF(INDEX('Res Measure Mapping'!$U:$U,MATCH($D48,'Res Measure Mapping'!$B:$B,0))="N/A",Y48,INDEX('Res Measure Mapping'!$U:$U,MATCH($D48,'Res Measure Mapping'!$B:$B,0)))</f>
        <v>21</v>
      </c>
      <c r="AA48" s="4">
        <f>Z48</f>
        <v>21</v>
      </c>
      <c r="AB48" s="4">
        <f>IF($B$2="Original",PV($F$96,$Y48,-$R48),PV($F$96,$AA48,-$R48))</f>
        <v>7652.9478131845781</v>
      </c>
      <c r="AC48" s="4">
        <f>IF($B$2="Original",PV($F$96,$Y48,-$R48),PV($F$96,$AA48,-$R48))</f>
        <v>7652.9478131845781</v>
      </c>
      <c r="AD48" s="7">
        <f>(R48/$R$92)*$AD$92</f>
        <v>1553.4633127795826</v>
      </c>
      <c r="AE48" s="5">
        <v>1250</v>
      </c>
      <c r="AF48" s="76">
        <f>ROUND(IF(INDEX('Res Measure Mapping'!$V:$V,MATCH($D48,'Res Measure Mapping'!$B:$B,0))="N/A",AE48,INDEX('Res Measure Mapping'!$V:$V,MATCH($D48,'Res Measure Mapping'!$B:$B,0))),0)</f>
        <v>600</v>
      </c>
      <c r="AG48" s="70" t="str">
        <f>INDEX('Res Measure Mapping'!$S:$S,MATCH($D48,'Res Measure Mapping'!$B:$B,0))</f>
        <v>household</v>
      </c>
      <c r="AH48" s="5">
        <v>1500</v>
      </c>
      <c r="AI48" s="5">
        <f>IF($B$2="Original",IF(ISNUMBER(AE48),AE48*L48,""),IF(ISNUMBER(AH48),AH48*L48,""))</f>
        <v>5297.8834335901847</v>
      </c>
      <c r="AJ48" s="8">
        <f>IF(ISERROR(AI48/AC48),0,AI48/AC48)</f>
        <v>0.69226702741431689</v>
      </c>
      <c r="AK48" s="8">
        <f>IF(ISERROR((AD48+AI48)/AC48),0,(AD48+AI48)/AC48)</f>
        <v>0.89525590839208335</v>
      </c>
      <c r="AL48" s="81">
        <f>IF($B$2="Original",IF($AI48=0,"-",(VLOOKUP(Y48,'APP 2885'!$B$10:$G$54,6)*$R48)/($AI48+$AD48)),IF($AI48=0,"-",(VLOOKUP(AA48,'APP 2885'!$B$10:$G$54,6)*$R48)/($AI48+$AD48)))</f>
        <v>1.6857913776574216</v>
      </c>
      <c r="AM48" s="9">
        <f>IF(ISERROR(RU48/AB48),0,X48/AB48)</f>
        <v>2.3480069763239539</v>
      </c>
      <c r="AN48" s="10">
        <f>IF(ISERROR(X48/AB48),0,(X48+AD48)/AB48)</f>
        <v>2.5509958573017206</v>
      </c>
      <c r="AO48" s="107">
        <f>IF($B$2="Original",IF($AI48=0,"-",(VLOOKUP(Y48,'APP 2885'!$B$10:$G$54,4)*$R48)/($X48+$AD48)),IF($AI48=0,"-",(VLOOKUP(AA48,'APP 2885'!$B$10:$G$54,4)*$R48)/($X48+$AD48)))</f>
        <v>0.53783441148159239</v>
      </c>
    </row>
    <row r="49" spans="3:41" ht="20.100000000000001" customHeight="1" thickBot="1" x14ac:dyDescent="0.3">
      <c r="C49" s="119">
        <v>21</v>
      </c>
      <c r="D49" s="55" t="str">
        <f>E49&amp;"_"&amp;F49&amp;"_"&amp;G49</f>
        <v>High-Efficiency Exterior Entry (not sliding) Door_Zone 1_U-Factor &lt;0.21, Energy Star Door</v>
      </c>
      <c r="E49" s="11" t="s">
        <v>51</v>
      </c>
      <c r="F49" s="11" t="s">
        <v>21</v>
      </c>
      <c r="G49" s="11" t="s">
        <v>52</v>
      </c>
      <c r="H49" s="11" t="str">
        <f>G49</f>
        <v>U-Factor &lt;0.21, Energy Star Door</v>
      </c>
      <c r="I49" s="12">
        <v>71</v>
      </c>
      <c r="J49" s="12">
        <v>78</v>
      </c>
      <c r="K49" s="12"/>
      <c r="L49" s="12">
        <f>(R49/Q49)</f>
        <v>53.107070350019271</v>
      </c>
      <c r="M49" s="132">
        <v>1.6085065330040107E-3</v>
      </c>
      <c r="N49" s="71">
        <v>13</v>
      </c>
      <c r="O49" s="73">
        <f>IF(INDEX('Res Measure Mapping'!$R:$R,MATCH($D49,'Res Measure Mapping'!$B:$B,0))="N/A",N49,INDEX('Res Measure Mapping'!$R:$R,MATCH($D49,'Res Measure Mapping'!$B:$B,0)))</f>
        <v>6.4089337258906038</v>
      </c>
      <c r="P49" s="73" t="str">
        <f>INDEX('Res Measure Mapping'!$S:$S,MATCH($D49,'Res Measure Mapping'!$B:$B,0))</f>
        <v>door</v>
      </c>
      <c r="Q49" s="71">
        <f>N49</f>
        <v>13</v>
      </c>
      <c r="R49" s="136">
        <f>M49*$R$92</f>
        <v>690.39191455025048</v>
      </c>
      <c r="S49" s="13">
        <v>200</v>
      </c>
      <c r="T49" s="77">
        <f>IF(INDEX('Res Measure Mapping'!$T:$T,MATCH($D49,'Res Measure Mapping'!$B:$B,0))="N/A",S49,INDEX('Res Measure Mapping'!$T:$T,MATCH($D49,'Res Measure Mapping'!$B:$B,0)))</f>
        <v>410.13</v>
      </c>
      <c r="U49" s="13">
        <f>S49</f>
        <v>200</v>
      </c>
      <c r="V49" s="13">
        <f>IF($B$2="Original",PV($F$96,$Y49,(-0.05*0.95*$N49)),PV($F$96,$AA49,(-0.05*0.95*$Q49)))</f>
        <v>14.127784147806333</v>
      </c>
      <c r="W49" s="13">
        <f>IF($B$2="Original",IF(ISNUMBER(S49),S49*L49,""),IF(ISNUMBER(U49),U49*L49,""))</f>
        <v>10621.414070003853</v>
      </c>
      <c r="X49" s="14">
        <f>W49-L49*(V49)</f>
        <v>9871.1288433764148</v>
      </c>
      <c r="Y49" s="12">
        <v>25</v>
      </c>
      <c r="Z49" s="73">
        <f>IF(INDEX('Res Measure Mapping'!$U:$U,MATCH($D49,'Res Measure Mapping'!$B:$B,0))="N/A",Y49,INDEX('Res Measure Mapping'!$U:$U,MATCH($D49,'Res Measure Mapping'!$B:$B,0)))</f>
        <v>45</v>
      </c>
      <c r="AA49" s="12">
        <f>Z49</f>
        <v>45</v>
      </c>
      <c r="AB49" s="12">
        <f>IF($B$2="Original",PV($F$96,$Y49,-$R49),PV($F$96,$AA49,-$R49))</f>
        <v>15795.478455314482</v>
      </c>
      <c r="AC49" s="12">
        <f>IF($B$2="Original",PV($F$96,$Y49,-$R49),PV($F$96,$AA49,-$R49))</f>
        <v>15795.478455314482</v>
      </c>
      <c r="AD49" s="15">
        <f>(R49/$R$92)*$AD$92</f>
        <v>2079.3405228122797</v>
      </c>
      <c r="AE49" s="13">
        <v>100</v>
      </c>
      <c r="AF49" s="77">
        <f>ROUND(IF(INDEX('Res Measure Mapping'!$V:$V,MATCH($D49,'Res Measure Mapping'!$B:$B,0))="N/A",AE49,INDEX('Res Measure Mapping'!$V:$V,MATCH($D49,'Res Measure Mapping'!$B:$B,0))),0)</f>
        <v>50</v>
      </c>
      <c r="AG49" s="73" t="str">
        <f>INDEX('Res Measure Mapping'!$S:$S,MATCH($D49,'Res Measure Mapping'!$B:$B,0))</f>
        <v>door</v>
      </c>
      <c r="AH49" s="13">
        <f>AE49</f>
        <v>100</v>
      </c>
      <c r="AI49" s="13">
        <f>IF($B$2="Original",IF(ISNUMBER(AE49),AE49*L49,""),IF(ISNUMBER(AH49),AH49*L49,""))</f>
        <v>5310.7070350019267</v>
      </c>
      <c r="AJ49" s="16">
        <f>IF(ISERROR(AI49/AC49),0,AI49/AC49)</f>
        <v>0.33621691486117078</v>
      </c>
      <c r="AK49" s="16">
        <f>IF(ISERROR((AD49+AI49)/AC49),0,(AD49+AI49)/AC49)</f>
        <v>0.46785841775674619</v>
      </c>
      <c r="AL49" s="82">
        <f>IF($B$2="Original",IF($AI49=0,"-",(VLOOKUP(Y49,'APP 2885'!$B$10:$G$54,6)*$R49)/($AI49+$AD49)),IF($AI49=0,"-",(VLOOKUP(AA49,'APP 2885'!$B$10:$G$54,6)*$R49)/($AI49+$AD49)))</f>
        <v>5.723642030181054</v>
      </c>
      <c r="AM49" s="17">
        <f>IF(ISERROR(RU49/AB49),0,X49/AB49)</f>
        <v>0.62493382972234157</v>
      </c>
      <c r="AN49" s="18">
        <f>IF(ISERROR(X49/AB49),0,(X49+AD49)/AB49)</f>
        <v>0.75657533261791687</v>
      </c>
      <c r="AO49" s="108">
        <f>IF($B$2="Original",IF($AI49=0,"-",(VLOOKUP(Y49,'APP 2885'!$B$10:$G$54,4)*$R49)/($X49+$AD49)),IF($AI49=0,"-",(VLOOKUP(AA49,'APP 2885'!$B$10:$G$54,4)*$R49)/($X49+$AD49)))</f>
        <v>3.2176740595505113</v>
      </c>
    </row>
    <row r="50" spans="3:41" ht="20.100000000000001" customHeight="1" thickBot="1" x14ac:dyDescent="0.3">
      <c r="C50" s="119">
        <v>21</v>
      </c>
      <c r="D50" s="55" t="str">
        <f>E50&amp;"_"&amp;F50&amp;"_"&amp;G50</f>
        <v>High-Efficiency Exterior Entry (not sliding) Door_Zone 2_U-Factor &lt;0.21, Energy Star Door</v>
      </c>
      <c r="E50" s="3" t="s">
        <v>51</v>
      </c>
      <c r="F50" s="3" t="s">
        <v>23</v>
      </c>
      <c r="G50" s="3" t="s">
        <v>52</v>
      </c>
      <c r="H50" s="3" t="str">
        <f>G50</f>
        <v>U-Factor &lt;0.21, Energy Star Door</v>
      </c>
      <c r="I50" s="4">
        <v>64</v>
      </c>
      <c r="J50" s="4">
        <v>64</v>
      </c>
      <c r="K50" s="4"/>
      <c r="L50" s="4">
        <f>(R50/Q50)</f>
        <v>37.497342259337422</v>
      </c>
      <c r="M50" s="131">
        <v>1.1357192102088858E-3</v>
      </c>
      <c r="N50" s="70">
        <v>13</v>
      </c>
      <c r="O50" s="70">
        <f>IF(INDEX('Res Measure Mapping'!$R:$R,MATCH($D50,'Res Measure Mapping'!$B:$B,0))="N/A",N50,INDEX('Res Measure Mapping'!$R:$R,MATCH($D50,'Res Measure Mapping'!$B:$B,0)))</f>
        <v>9.1929593665283793</v>
      </c>
      <c r="P50" s="70" t="str">
        <f>INDEX('Res Measure Mapping'!$S:$S,MATCH($D50,'Res Measure Mapping'!$B:$B,0))</f>
        <v>door</v>
      </c>
      <c r="Q50" s="70">
        <f>N50</f>
        <v>13</v>
      </c>
      <c r="R50" s="135">
        <f>M50*$R$92</f>
        <v>487.46544937138651</v>
      </c>
      <c r="S50" s="5">
        <v>200</v>
      </c>
      <c r="T50" s="76">
        <f>IF(INDEX('Res Measure Mapping'!$T:$T,MATCH($D50,'Res Measure Mapping'!$B:$B,0))="N/A",S50,INDEX('Res Measure Mapping'!$T:$T,MATCH($D50,'Res Measure Mapping'!$B:$B,0)))</f>
        <v>410.13</v>
      </c>
      <c r="U50" s="5">
        <f>S50</f>
        <v>200</v>
      </c>
      <c r="V50" s="5">
        <f>IF($B$2="Original",PV($F$96,$Y50,(-0.05*0.95*$N50)),PV($F$96,$AA50,(-0.05*0.95*$Q50)))</f>
        <v>14.127784147806333</v>
      </c>
      <c r="W50" s="5">
        <f>IF($B$2="Original",IF(ISNUMBER(S50),S50*L50,""),IF(ISNUMBER(U50),U50*L50,""))</f>
        <v>7499.4684518674849</v>
      </c>
      <c r="X50" s="6">
        <f>W50-L50*(V50)</f>
        <v>6969.714094311149</v>
      </c>
      <c r="Y50" s="4">
        <v>25</v>
      </c>
      <c r="Z50" s="70">
        <f>IF(INDEX('Res Measure Mapping'!$U:$U,MATCH($D50,'Res Measure Mapping'!$B:$B,0))="N/A",Y50,INDEX('Res Measure Mapping'!$U:$U,MATCH($D50,'Res Measure Mapping'!$B:$B,0)))</f>
        <v>45</v>
      </c>
      <c r="AA50" s="4">
        <f>Z50</f>
        <v>45</v>
      </c>
      <c r="AB50" s="4">
        <f>IF($B$2="Original",PV($F$96,$Y50,-$R50),PV($F$96,$AA50,-$R50))</f>
        <v>11152.723316975489</v>
      </c>
      <c r="AC50" s="4">
        <f>IF($B$2="Original",PV($F$96,$Y50,-$R50),PV($F$96,$AA50,-$R50))</f>
        <v>11152.723316975489</v>
      </c>
      <c r="AD50" s="7">
        <f>(R50/$R$92)*$AD$92</f>
        <v>1468.1612588251799</v>
      </c>
      <c r="AE50" s="5">
        <v>100</v>
      </c>
      <c r="AF50" s="76">
        <f>ROUND(IF(INDEX('Res Measure Mapping'!$V:$V,MATCH($D50,'Res Measure Mapping'!$B:$B,0))="N/A",AE50,INDEX('Res Measure Mapping'!$V:$V,MATCH($D50,'Res Measure Mapping'!$B:$B,0))),0)</f>
        <v>50</v>
      </c>
      <c r="AG50" s="70" t="str">
        <f>INDEX('Res Measure Mapping'!$S:$S,MATCH($D50,'Res Measure Mapping'!$B:$B,0))</f>
        <v>door</v>
      </c>
      <c r="AH50" s="5">
        <f>AE50</f>
        <v>100</v>
      </c>
      <c r="AI50" s="5">
        <f>IF($B$2="Original",IF(ISNUMBER(AE50),AE50*L50,""),IF(ISNUMBER(AH50),AH50*L50,""))</f>
        <v>3749.7342259337424</v>
      </c>
      <c r="AJ50" s="8">
        <f>IF(ISERROR(AI50/AC50),0,AI50/AC50)</f>
        <v>0.33621691486117078</v>
      </c>
      <c r="AK50" s="8">
        <f>IF(ISERROR((AD50+AI50)/AC50),0,(AD50+AI50)/AC50)</f>
        <v>0.46785841775674614</v>
      </c>
      <c r="AL50" s="81">
        <f>IF($B$2="Original",IF($AI50=0,"-",(VLOOKUP(Y50,'APP 2885'!$B$10:$G$54,6)*$R50)/($AI50+$AD50)),IF($AI50=0,"-",(VLOOKUP(AA50,'APP 2885'!$B$10:$G$54,6)*$R50)/($AI50+$AD50)))</f>
        <v>5.723642030181054</v>
      </c>
      <c r="AM50" s="9">
        <f>IF(ISERROR(RU50/AB50),0,X50/AB50)</f>
        <v>0.62493382972234157</v>
      </c>
      <c r="AN50" s="10">
        <f>IF(ISERROR(X50/AB50),0,(X50+AD50)/AB50)</f>
        <v>0.75657533261791698</v>
      </c>
      <c r="AO50" s="107">
        <f>IF($B$2="Original",IF($AI50=0,"-",(VLOOKUP(Y50,'APP 2885'!$B$10:$G$54,4)*$R50)/($X50+$AD50)),IF($AI50=0,"-",(VLOOKUP(AA50,'APP 2885'!$B$10:$G$54,4)*$R50)/($X50+$AD50)))</f>
        <v>3.2176740595505109</v>
      </c>
    </row>
    <row r="51" spans="3:41" ht="20.100000000000001" customHeight="1" thickBot="1" x14ac:dyDescent="0.3">
      <c r="C51" s="119">
        <v>21</v>
      </c>
      <c r="D51" s="55" t="str">
        <f>E51&amp;"_"&amp;F51&amp;"_"&amp;G51</f>
        <v>High-Efficiency Exterior Entry (not sliding) Door_Zone 3_U-Factor &lt;0.21, Energy Star Door</v>
      </c>
      <c r="E51" s="11" t="s">
        <v>51</v>
      </c>
      <c r="F51" s="11" t="s">
        <v>24</v>
      </c>
      <c r="G51" s="11" t="s">
        <v>52</v>
      </c>
      <c r="H51" s="11" t="str">
        <f>G51</f>
        <v>U-Factor &lt;0.21, Energy Star Door</v>
      </c>
      <c r="I51" s="12">
        <v>78</v>
      </c>
      <c r="J51" s="12">
        <v>86</v>
      </c>
      <c r="K51" s="12"/>
      <c r="L51" s="12">
        <f>(R51/Q51)</f>
        <v>60.047283484377274</v>
      </c>
      <c r="M51" s="132">
        <v>1.8187116543462211E-3</v>
      </c>
      <c r="N51" s="71">
        <v>13</v>
      </c>
      <c r="O51" s="73">
        <f>IF(INDEX('Res Measure Mapping'!$R:$R,MATCH($D51,'Res Measure Mapping'!$B:$B,0))="N/A",N51,INDEX('Res Measure Mapping'!$R:$R,MATCH($D51,'Res Measure Mapping'!$B:$B,0)))</f>
        <v>8.8582733125943296</v>
      </c>
      <c r="P51" s="73" t="str">
        <f>INDEX('Res Measure Mapping'!$S:$S,MATCH($D51,'Res Measure Mapping'!$B:$B,0))</f>
        <v>door</v>
      </c>
      <c r="Q51" s="71">
        <f>N51</f>
        <v>13</v>
      </c>
      <c r="R51" s="136">
        <f>M51*$R$92</f>
        <v>780.61468529690455</v>
      </c>
      <c r="S51" s="13">
        <v>200</v>
      </c>
      <c r="T51" s="77">
        <f>IF(INDEX('Res Measure Mapping'!$T:$T,MATCH($D51,'Res Measure Mapping'!$B:$B,0))="N/A",S51,INDEX('Res Measure Mapping'!$T:$T,MATCH($D51,'Res Measure Mapping'!$B:$B,0)))</f>
        <v>410.13</v>
      </c>
      <c r="U51" s="13">
        <f>S51</f>
        <v>200</v>
      </c>
      <c r="V51" s="13">
        <f>IF($B$2="Original",PV($F$96,$Y51,(-0.05*0.95*$N51)),PV($F$96,$AA51,(-0.05*0.95*$Q51)))</f>
        <v>14.127784147806333</v>
      </c>
      <c r="W51" s="13">
        <f>IF($B$2="Original",IF(ISNUMBER(S51),S51*L51,""),IF(ISNUMBER(U51),U51*L51,""))</f>
        <v>12009.456696875455</v>
      </c>
      <c r="X51" s="14">
        <f>W51-L51*(V51)</f>
        <v>11161.121637146038</v>
      </c>
      <c r="Y51" s="12">
        <v>25</v>
      </c>
      <c r="Z51" s="73">
        <f>IF(INDEX('Res Measure Mapping'!$U:$U,MATCH($D51,'Res Measure Mapping'!$B:$B,0))="N/A",Y51,INDEX('Res Measure Mapping'!$U:$U,MATCH($D51,'Res Measure Mapping'!$B:$B,0)))</f>
        <v>45</v>
      </c>
      <c r="AA51" s="12">
        <f>Z51</f>
        <v>45</v>
      </c>
      <c r="AB51" s="12">
        <f>IF($B$2="Original",PV($F$96,$Y51,-$R51),PV($F$96,$AA51,-$R51))</f>
        <v>17859.685467987751</v>
      </c>
      <c r="AC51" s="12">
        <f>IF($B$2="Original",PV($F$96,$Y51,-$R51),PV($F$96,$AA51,-$R51))</f>
        <v>17859.685467987751</v>
      </c>
      <c r="AD51" s="15">
        <f>(R51/$R$92)*$AD$92</f>
        <v>2351.0758362481752</v>
      </c>
      <c r="AE51" s="13">
        <v>100</v>
      </c>
      <c r="AF51" s="77">
        <f>ROUND(IF(INDEX('Res Measure Mapping'!$V:$V,MATCH($D51,'Res Measure Mapping'!$B:$B,0))="N/A",AE51,INDEX('Res Measure Mapping'!$V:$V,MATCH($D51,'Res Measure Mapping'!$B:$B,0))),0)</f>
        <v>50</v>
      </c>
      <c r="AG51" s="73" t="str">
        <f>INDEX('Res Measure Mapping'!$S:$S,MATCH($D51,'Res Measure Mapping'!$B:$B,0))</f>
        <v>door</v>
      </c>
      <c r="AH51" s="13">
        <f>AE51</f>
        <v>100</v>
      </c>
      <c r="AI51" s="13">
        <f>IF($B$2="Original",IF(ISNUMBER(AE51),AE51*L51,""),IF(ISNUMBER(AH51),AH51*L51,""))</f>
        <v>6004.7283484377276</v>
      </c>
      <c r="AJ51" s="16">
        <f>IF(ISERROR(AI51/AC51),0,AI51/AC51)</f>
        <v>0.33621691486117083</v>
      </c>
      <c r="AK51" s="16">
        <f>IF(ISERROR((AD51+AI51)/AC51),0,(AD51+AI51)/AC51)</f>
        <v>0.46785841775674625</v>
      </c>
      <c r="AL51" s="82">
        <f>IF($B$2="Original",IF($AI51=0,"-",(VLOOKUP(Y51,'APP 2885'!$B$10:$G$54,6)*$R51)/($AI51+$AD51)),IF($AI51=0,"-",(VLOOKUP(AA51,'APP 2885'!$B$10:$G$54,6)*$R51)/($AI51+$AD51)))</f>
        <v>5.723642030181054</v>
      </c>
      <c r="AM51" s="17">
        <f>IF(ISERROR(RU51/AB51),0,X51/AB51)</f>
        <v>0.62493382972234168</v>
      </c>
      <c r="AN51" s="18">
        <f>IF(ISERROR(X51/AB51),0,(X51+AD51)/AB51)</f>
        <v>0.7565753326179171</v>
      </c>
      <c r="AO51" s="108">
        <f>IF($B$2="Original",IF($AI51=0,"-",(VLOOKUP(Y51,'APP 2885'!$B$10:$G$54,4)*$R51)/($X51+$AD51)),IF($AI51=0,"-",(VLOOKUP(AA51,'APP 2885'!$B$10:$G$54,4)*$R51)/($X51+$AD51)))</f>
        <v>3.2176740595505109</v>
      </c>
    </row>
    <row r="52" spans="3:41" ht="20.100000000000001" customHeight="1" thickBot="1" x14ac:dyDescent="0.3">
      <c r="C52" s="119">
        <v>15</v>
      </c>
      <c r="D52" s="55" t="str">
        <f>E52&amp;"_"&amp;F52&amp;"_"&amp;G52</f>
        <v>High-Efficiency Natural Gas Furnace_Zone 1_95+% Annual Fuel Utilization Efficiency (AFUE)</v>
      </c>
      <c r="E52" s="3" t="s">
        <v>53</v>
      </c>
      <c r="F52" s="3" t="s">
        <v>21</v>
      </c>
      <c r="G52" s="3" t="s">
        <v>36</v>
      </c>
      <c r="H52" s="3" t="s">
        <v>36</v>
      </c>
      <c r="I52" s="4">
        <v>852</v>
      </c>
      <c r="J52" s="4">
        <v>858</v>
      </c>
      <c r="K52" s="4"/>
      <c r="L52" s="4">
        <f>(R52/Q52)</f>
        <v>226.89404028993047</v>
      </c>
      <c r="M52" s="131">
        <v>0.05</v>
      </c>
      <c r="N52" s="70">
        <v>89</v>
      </c>
      <c r="O52" s="70">
        <f>'Res Measure Mapping'!R49</f>
        <v>94.584458774576376</v>
      </c>
      <c r="P52" s="70" t="str">
        <f>INDEX('Res Measure Mapping'!$S:$S,MATCH($D52,'Res Measure Mapping'!$B:$B,0))</f>
        <v>kBTU/hr</v>
      </c>
      <c r="Q52" s="70">
        <f>O52</f>
        <v>94.584458774576376</v>
      </c>
      <c r="R52" s="135">
        <f>M52*$R$92</f>
        <v>21460.65</v>
      </c>
      <c r="S52" s="5">
        <v>1024</v>
      </c>
      <c r="T52" s="76">
        <f>'Res Measure Mapping'!T49</f>
        <v>2537.6999999999994</v>
      </c>
      <c r="U52" s="5">
        <f>S52</f>
        <v>1024</v>
      </c>
      <c r="V52" s="5">
        <f>IF($B$2="Original",PV($F$96,$Y52,(-0.05*0.95*$N52)),PV($F$96,$AA52,(-0.05*0.95*$Q52)))</f>
        <v>67.746424992789102</v>
      </c>
      <c r="W52" s="5">
        <f>IF($B$2="Original",IF(ISNUMBER(S52),S52*L52,""),IF(ISNUMBER(U52),U52*L52,""))</f>
        <v>232339.4972568888</v>
      </c>
      <c r="X52" s="6">
        <f>W52-L52*(V52)</f>
        <v>216968.23717507615</v>
      </c>
      <c r="Y52" s="4">
        <v>18</v>
      </c>
      <c r="Z52" s="70">
        <f>IF(INDEX('Res Measure Mapping'!$U:$U,MATCH($D52,'Res Measure Mapping'!$B:$B,0))="N/A",Y52,INDEX('Res Measure Mapping'!$U:$U,MATCH($D52,'Res Measure Mapping'!$B:$B,0)))</f>
        <v>21.5</v>
      </c>
      <c r="AA52" s="4">
        <f>Z52</f>
        <v>21.5</v>
      </c>
      <c r="AB52" s="4">
        <f>IF($B$2="Original",PV($F$96,$Y52,-$R52),PV($F$96,$AA52,-$R52))</f>
        <v>323605.47540658194</v>
      </c>
      <c r="AC52" s="4">
        <f>IF($B$2="Original",PV($F$96,$Y52,-$R52),PV($F$96,$AA52,-$R52))</f>
        <v>323605.47540658194</v>
      </c>
      <c r="AD52" s="7">
        <f>(R52/$R$92)*$AD$92</f>
        <v>64635.75</v>
      </c>
      <c r="AE52" s="5">
        <v>400</v>
      </c>
      <c r="AF52" s="76">
        <f>'Res Measure Mapping'!V49</f>
        <v>656.81004653095204</v>
      </c>
      <c r="AG52" s="70" t="str">
        <f>INDEX('Res Measure Mapping'!$S:$S,MATCH($D52,'Res Measure Mapping'!$B:$B,0))</f>
        <v>kBTU/hr</v>
      </c>
      <c r="AH52" s="5">
        <v>650</v>
      </c>
      <c r="AI52" s="5">
        <f>IF($B$2="Original",IF(ISNUMBER(AE52),AE52*L52,""),IF(ISNUMBER(AH52),AH52*L52,""))</f>
        <v>147481.1261884548</v>
      </c>
      <c r="AJ52" s="8">
        <f>IF(ISERROR(AI52/AC52),0,AI52/AC52)</f>
        <v>0.45574360570740552</v>
      </c>
      <c r="AK52" s="8">
        <f>IF(ISERROR((AD52+AI52)/AC52),0,(AD52+AI52)/AC52)</f>
        <v>0.65547987382459616</v>
      </c>
      <c r="AL52" s="81">
        <f>IF($B$2="Original",IF($AI52=0,"-",(VLOOKUP(Y52,'APP 2885'!$B$10:$G$54,6)*$R52)/($AI52+$AD52)),IF($AI52=0,"-",(VLOOKUP(AA52,'APP 2885'!$B$10:$G$54,6)*$R52)/($AI52+$AD52)))</f>
        <v>2.2655640489520472</v>
      </c>
      <c r="AM52" s="9">
        <f>IF(ISERROR(RU52/AB52),0,X52/AB52)</f>
        <v>0.6704714649913589</v>
      </c>
      <c r="AN52" s="10">
        <f>IF(ISERROR(X52/AB52),0,(X52+AD52)/AB52)</f>
        <v>0.87020773310854949</v>
      </c>
      <c r="AO52" s="107">
        <f>IF($B$2="Original",IF($AI52=0,"-",(VLOOKUP(Y52,'APP 2885'!$B$10:$G$54,4)*$R52)/($X52+$AD52)),IF($AI52=0,"-",(VLOOKUP(AA52,'APP 2885'!$B$10:$G$54,4)*$R52)/($X52+$AD52)))</f>
        <v>1.5513867660539256</v>
      </c>
    </row>
    <row r="53" spans="3:41" ht="20.100000000000001" customHeight="1" thickBot="1" x14ac:dyDescent="0.3">
      <c r="C53" s="119">
        <v>16</v>
      </c>
      <c r="D53" s="55" t="str">
        <f>E53&amp;"_"&amp;F53&amp;"_"&amp;G53</f>
        <v>High-Efficiency Natural Gas Furnace_Zone 1_95+% Annual Fuel Utilization Efficiency (AFUE)</v>
      </c>
      <c r="E53" s="11" t="s">
        <v>53</v>
      </c>
      <c r="F53" s="11" t="s">
        <v>21</v>
      </c>
      <c r="G53" s="11" t="s">
        <v>36</v>
      </c>
      <c r="H53" s="11" t="s">
        <v>202</v>
      </c>
      <c r="I53" s="12">
        <v>2</v>
      </c>
      <c r="J53" s="12">
        <v>2</v>
      </c>
      <c r="K53" s="12"/>
      <c r="L53" s="12">
        <f>(R53/Q53)</f>
        <v>487.10458636415888</v>
      </c>
      <c r="M53" s="132">
        <v>0.12881023734472499</v>
      </c>
      <c r="N53" s="71">
        <v>111</v>
      </c>
      <c r="O53" s="73">
        <f>'Res Measure Mapping'!R48</f>
        <v>113.50135052949167</v>
      </c>
      <c r="P53" s="73" t="str">
        <f>INDEX('Res Measure Mapping'!$S:$S,MATCH($D53,'Res Measure Mapping'!$B:$B,0))</f>
        <v>kBTU/hr</v>
      </c>
      <c r="Q53" s="71">
        <f>O53</f>
        <v>113.50135052949167</v>
      </c>
      <c r="R53" s="136">
        <f>M53*$R$92</f>
        <v>55287.02840144145</v>
      </c>
      <c r="S53" s="13">
        <v>1024</v>
      </c>
      <c r="T53" s="77">
        <f>IF(INDEX('Res Measure Mapping'!$T:$T,MATCH($D53,'Res Measure Mapping'!$B:$B,0))="N/A",S53,INDEX('Res Measure Mapping'!$T:$T,MATCH($D53,'Res Measure Mapping'!$B:$B,0)))</f>
        <v>3045.24</v>
      </c>
      <c r="U53" s="13">
        <f>S53</f>
        <v>1024</v>
      </c>
      <c r="V53" s="13">
        <f>IF($B$2="Original",PV($F$96,$Y53,(-0.05*0.95*$N53)),PV($F$96,$AA53,(-0.05*0.95*$Q53)))</f>
        <v>81.295709991346939</v>
      </c>
      <c r="W53" s="13">
        <f>IF($B$2="Original",IF(ISNUMBER(S53),S53*L53,""),IF(ISNUMBER(U53),U53*L53,""))</f>
        <v>498795.09643689869</v>
      </c>
      <c r="X53" s="14">
        <f>W53-L53*(V53)</f>
        <v>459195.58324838302</v>
      </c>
      <c r="Y53" s="12">
        <v>18</v>
      </c>
      <c r="Z53" s="73">
        <f>IF(INDEX('Res Measure Mapping'!$U:$U,MATCH($D53,'Res Measure Mapping'!$B:$B,0))="N/A",Y53,INDEX('Res Measure Mapping'!$U:$U,MATCH($D53,'Res Measure Mapping'!$B:$B,0)))</f>
        <v>21.5</v>
      </c>
      <c r="AA53" s="12">
        <f>Z53</f>
        <v>21.5</v>
      </c>
      <c r="AB53" s="12">
        <f>IF($B$2="Original",PV($F$96,$Y53,-$R53),PV($F$96,$AA53,-$R53))</f>
        <v>833673.96186348761</v>
      </c>
      <c r="AC53" s="12">
        <f>IF($B$2="Original",PV($F$96,$Y53,-$R53),PV($F$96,$AA53,-$R53))</f>
        <v>833673.96186348761</v>
      </c>
      <c r="AD53" s="15">
        <f>(R53/$R$92)*$AD$92</f>
        <v>166514.92596908618</v>
      </c>
      <c r="AE53" s="13">
        <v>400</v>
      </c>
      <c r="AF53" s="77">
        <f>ROUND(IF(INDEX('Res Measure Mapping'!$V:$V,MATCH($D53,'Res Measure Mapping'!$B:$B,0))="N/A",AE53,INDEX('Res Measure Mapping'!$V:$V,MATCH($D53,'Res Measure Mapping'!$B:$B,0))),0)</f>
        <v>788</v>
      </c>
      <c r="AG53" s="73" t="str">
        <f>INDEX('Res Measure Mapping'!$S:$S,MATCH($D53,'Res Measure Mapping'!$B:$B,0))</f>
        <v>kBTU/hr</v>
      </c>
      <c r="AH53" s="13">
        <v>900</v>
      </c>
      <c r="AI53" s="13">
        <f>IF($B$2="Original",IF(ISNUMBER(AE53),AE53*L53,""),IF(ISNUMBER(AH53),AH53*L53,""))</f>
        <v>438394.12772774301</v>
      </c>
      <c r="AJ53" s="16">
        <f>IF(ISERROR(AI53/AC53),0,AI53/AC53)</f>
        <v>0.52585800658546789</v>
      </c>
      <c r="AK53" s="16">
        <f>IF(ISERROR((AD53+AI53)/AC53),0,(AD53+AI53)/AC53)</f>
        <v>0.72559427470265858</v>
      </c>
      <c r="AL53" s="82">
        <f>IF($B$2="Original",IF($AI53=0,"-",(VLOOKUP(Y53,'APP 2885'!$B$10:$G$54,6)*$R53)/($AI53+$AD53)),IF($AI53=0,"-",(VLOOKUP(AA53,'APP 2885'!$B$10:$G$54,6)*$R53)/($AI53+$AD53)))</f>
        <v>2.0466418888947011</v>
      </c>
      <c r="AM53" s="17">
        <f>IF(ISERROR(RU53/AB53),0,X53/AB53)</f>
        <v>0.55080955415946564</v>
      </c>
      <c r="AN53" s="18">
        <f>IF(ISERROR(X53/AB53),0,(X53+AD53)/AB53)</f>
        <v>0.75054582227665645</v>
      </c>
      <c r="AO53" s="108">
        <f>IF($B$2="Original",IF($AI53=0,"-",(VLOOKUP(Y53,'APP 2885'!$B$10:$G$54,4)*$R53)/($X53+$AD53)),IF($AI53=0,"-",(VLOOKUP(AA53,'APP 2885'!$B$10:$G$54,4)*$R53)/($X53+$AD53)))</f>
        <v>1.7987292991216735</v>
      </c>
    </row>
    <row r="54" spans="3:41" ht="20.100000000000001" customHeight="1" thickBot="1" x14ac:dyDescent="0.3">
      <c r="C54" s="119">
        <v>15</v>
      </c>
      <c r="D54" s="55" t="str">
        <f>E54&amp;"_"&amp;F54&amp;"_"&amp;G54</f>
        <v>High-Efficiency Natural Gas Furnace_Zone 2_95+% Annual Fuel Utilization Efficiency (AFUE)</v>
      </c>
      <c r="E54" s="3" t="s">
        <v>53</v>
      </c>
      <c r="F54" s="3" t="s">
        <v>23</v>
      </c>
      <c r="G54" s="3" t="s">
        <v>36</v>
      </c>
      <c r="H54" s="3" t="s">
        <v>36</v>
      </c>
      <c r="I54" s="4">
        <v>321</v>
      </c>
      <c r="J54" s="4">
        <v>325</v>
      </c>
      <c r="K54" s="4"/>
      <c r="L54" s="4">
        <f>(R54/Q54)</f>
        <v>89.776973281870625</v>
      </c>
      <c r="M54" s="131">
        <v>0.02</v>
      </c>
      <c r="N54" s="70">
        <v>90</v>
      </c>
      <c r="O54" s="70">
        <f>'Res Measure Mapping'!R51</f>
        <v>95.617614252244877</v>
      </c>
      <c r="P54" s="70" t="str">
        <f>INDEX('Res Measure Mapping'!$S:$S,MATCH($D54,'Res Measure Mapping'!$B:$B,0))</f>
        <v>kBTU/hr</v>
      </c>
      <c r="Q54" s="70">
        <f>O54</f>
        <v>95.617614252244877</v>
      </c>
      <c r="R54" s="135">
        <f>M54*$R$92</f>
        <v>8584.26</v>
      </c>
      <c r="S54" s="5">
        <v>1024</v>
      </c>
      <c r="T54" s="76">
        <f>'Res Measure Mapping'!T51</f>
        <v>2537.6999999999994</v>
      </c>
      <c r="U54" s="5">
        <f>S54</f>
        <v>1024</v>
      </c>
      <c r="V54" s="5">
        <f>IF($B$2="Original",PV($F$96,$Y54,(-0.05*0.95*$N54)),PV($F$96,$AA54,(-0.05*0.95*$Q54)))</f>
        <v>68.486425950457757</v>
      </c>
      <c r="W54" s="5">
        <f>IF($B$2="Original",IF(ISNUMBER(S54),S54*L54,""),IF(ISNUMBER(U54),U54*L54,""))</f>
        <v>91931.62064063552</v>
      </c>
      <c r="X54" s="6">
        <f>W54-L54*(V54)</f>
        <v>85783.116607910459</v>
      </c>
      <c r="Y54" s="4">
        <v>18</v>
      </c>
      <c r="Z54" s="70">
        <f>IF(INDEX('Res Measure Mapping'!$U:$U,MATCH($D54,'Res Measure Mapping'!$B:$B,0))="N/A",Y54,INDEX('Res Measure Mapping'!$U:$U,MATCH($D54,'Res Measure Mapping'!$B:$B,0)))</f>
        <v>21.5</v>
      </c>
      <c r="AA54" s="4">
        <f>Z54</f>
        <v>21.5</v>
      </c>
      <c r="AB54" s="4">
        <f>IF($B$2="Original",PV($F$96,$Y54,-$R54),PV($F$96,$AA54,-$R54))</f>
        <v>129442.19016263277</v>
      </c>
      <c r="AC54" s="4">
        <f>IF($B$2="Original",PV($F$96,$Y54,-$R54),PV($F$96,$AA54,-$R54))</f>
        <v>129442.19016263277</v>
      </c>
      <c r="AD54" s="7">
        <f>(R54/$R$92)*$AD$92</f>
        <v>25854.3</v>
      </c>
      <c r="AE54" s="5">
        <v>400</v>
      </c>
      <c r="AF54" s="76">
        <f>'Res Measure Mapping'!V51</f>
        <v>656.81004653095204</v>
      </c>
      <c r="AG54" s="70" t="str">
        <f>INDEX('Res Measure Mapping'!$S:$S,MATCH($D54,'Res Measure Mapping'!$B:$B,0))</f>
        <v>kBTU/hr</v>
      </c>
      <c r="AH54" s="5">
        <v>650</v>
      </c>
      <c r="AI54" s="5">
        <f>IF($B$2="Original",IF(ISNUMBER(AE54),AE54*L54,""),IF(ISNUMBER(AH54),AH54*L54,""))</f>
        <v>58355.032633215909</v>
      </c>
      <c r="AJ54" s="8">
        <f>IF(ISERROR(AI54/AC54),0,AI54/AC54)</f>
        <v>0.45081926194155031</v>
      </c>
      <c r="AK54" s="8">
        <f>IF(ISERROR((AD54+AI54)/AC54),0,(AD54+AI54)/AC54)</f>
        <v>0.65055553005874089</v>
      </c>
      <c r="AL54" s="81">
        <f>IF($B$2="Original",IF($AI54=0,"-",(VLOOKUP(Y54,'APP 2885'!$B$10:$G$54,6)*$R54)/($AI54+$AD54)),IF($AI54=0,"-",(VLOOKUP(AA54,'APP 2885'!$B$10:$G$54,6)*$R54)/($AI54+$AD54)))</f>
        <v>2.2827131095396891</v>
      </c>
      <c r="AM54" s="9">
        <f>IF(ISERROR(RU54/AB54),0,X54/AB54)</f>
        <v>0.66271372958176533</v>
      </c>
      <c r="AN54" s="10">
        <f>IF(ISERROR(X54/AB54),0,(X54+AD54)/AB54)</f>
        <v>0.86244999769895603</v>
      </c>
      <c r="AO54" s="107">
        <f>IF($B$2="Original",IF($AI54=0,"-",(VLOOKUP(Y54,'APP 2885'!$B$10:$G$54,4)*$R54)/($X54+$AD54)),IF($AI54=0,"-",(VLOOKUP(AA54,'APP 2885'!$B$10:$G$54,4)*$R54)/($X54+$AD54)))</f>
        <v>1.5653414858418573</v>
      </c>
    </row>
    <row r="55" spans="3:41" ht="20.100000000000001" customHeight="1" thickBot="1" x14ac:dyDescent="0.3">
      <c r="C55" s="119">
        <v>16</v>
      </c>
      <c r="D55" s="55" t="str">
        <f>E55&amp;"_"&amp;F55&amp;"_"&amp;G55</f>
        <v>High-Efficiency Natural Gas Furnace_Zone 2_95+% Annual Fuel Utilization Efficiency (AFUE)</v>
      </c>
      <c r="E55" s="11" t="s">
        <v>53</v>
      </c>
      <c r="F55" s="11" t="s">
        <v>23</v>
      </c>
      <c r="G55" s="11" t="s">
        <v>36</v>
      </c>
      <c r="H55" s="11" t="s">
        <v>202</v>
      </c>
      <c r="I55" s="12">
        <v>5</v>
      </c>
      <c r="J55" s="12">
        <v>5</v>
      </c>
      <c r="K55" s="12"/>
      <c r="L55" s="12">
        <f>(R55/Q55)</f>
        <v>243.3093982421376</v>
      </c>
      <c r="M55" s="132">
        <v>6.5043689315270173E-2</v>
      </c>
      <c r="N55" s="71">
        <v>110</v>
      </c>
      <c r="O55" s="73">
        <f>'Res Measure Mapping'!R50</f>
        <v>114.74113710269388</v>
      </c>
      <c r="P55" s="73" t="str">
        <f>INDEX('Res Measure Mapping'!$S:$S,MATCH($D55,'Res Measure Mapping'!$B:$B,0))</f>
        <v>kBTU/hr</v>
      </c>
      <c r="Q55" s="71">
        <f>O55</f>
        <v>114.74113710269388</v>
      </c>
      <c r="R55" s="136">
        <f>M55*$R$92</f>
        <v>27917.597022075057</v>
      </c>
      <c r="S55" s="13">
        <v>1024</v>
      </c>
      <c r="T55" s="77">
        <f>IF(INDEX('Res Measure Mapping'!$T:$T,MATCH($D55,'Res Measure Mapping'!$B:$B,0))="N/A",S55,INDEX('Res Measure Mapping'!$T:$T,MATCH($D55,'Res Measure Mapping'!$B:$B,0)))</f>
        <v>3045.24</v>
      </c>
      <c r="U55" s="13">
        <f>S55</f>
        <v>1024</v>
      </c>
      <c r="V55" s="13">
        <f>IF($B$2="Original",PV($F$96,$Y55,(-0.05*0.95*$N55)),PV($F$96,$AA55,(-0.05*0.95*$Q55)))</f>
        <v>82.18371114054932</v>
      </c>
      <c r="W55" s="13">
        <f>IF($B$2="Original",IF(ISNUMBER(S55),S55*L55,""),IF(ISNUMBER(U55),U55*L55,""))</f>
        <v>249148.82379994891</v>
      </c>
      <c r="X55" s="14">
        <f>W55-L55*(V55)</f>
        <v>229152.75449703619</v>
      </c>
      <c r="Y55" s="12">
        <v>18</v>
      </c>
      <c r="Z55" s="73">
        <f>IF(INDEX('Res Measure Mapping'!$U:$U,MATCH($D55,'Res Measure Mapping'!$B:$B,0))="N/A",Y55,INDEX('Res Measure Mapping'!$U:$U,MATCH($D55,'Res Measure Mapping'!$B:$B,0)))</f>
        <v>21.5</v>
      </c>
      <c r="AA55" s="12">
        <f>Z55</f>
        <v>21.5</v>
      </c>
      <c r="AB55" s="12">
        <f>IF($B$2="Original",PV($F$96,$Y55,-$R55),PV($F$96,$AA55,-$R55))</f>
        <v>420969.88006132032</v>
      </c>
      <c r="AC55" s="12">
        <f>IF($B$2="Original",PV($F$96,$Y55,-$R55),PV($F$96,$AA55,-$R55))</f>
        <v>420969.88006132032</v>
      </c>
      <c r="AD55" s="15">
        <f>(R55/$R$92)*$AD$92</f>
        <v>84082.952833189483</v>
      </c>
      <c r="AE55" s="13">
        <v>400</v>
      </c>
      <c r="AF55" s="77">
        <f>ROUND(IF(INDEX('Res Measure Mapping'!$V:$V,MATCH($D55,'Res Measure Mapping'!$B:$B,0))="N/A",AE55,INDEX('Res Measure Mapping'!$V:$V,MATCH($D55,'Res Measure Mapping'!$B:$B,0))),0)</f>
        <v>788</v>
      </c>
      <c r="AG55" s="73" t="str">
        <f>INDEX('Res Measure Mapping'!$S:$S,MATCH($D55,'Res Measure Mapping'!$B:$B,0))</f>
        <v>kBTU/hr</v>
      </c>
      <c r="AH55" s="13">
        <v>900</v>
      </c>
      <c r="AI55" s="13">
        <f>IF($B$2="Original",IF(ISNUMBER(AE55),AE55*L55,""),IF(ISNUMBER(AH55),AH55*L55,""))</f>
        <v>218978.45841792383</v>
      </c>
      <c r="AJ55" s="16">
        <f>IF(ISERROR(AI55/AC55),0,AI55/AC55)</f>
        <v>0.52017607147101941</v>
      </c>
      <c r="AK55" s="16">
        <f>IF(ISERROR((AD55+AI55)/AC55),0,(AD55+AI55)/AC55)</f>
        <v>0.71991233958820999</v>
      </c>
      <c r="AL55" s="82">
        <f>IF($B$2="Original",IF($AI55=0,"-",(VLOOKUP(Y55,'APP 2885'!$B$10:$G$54,6)*$R55)/($AI55+$AD55)),IF($AI55=0,"-",(VLOOKUP(AA55,'APP 2885'!$B$10:$G$54,6)*$R55)/($AI55+$AD55)))</f>
        <v>2.0627950866880096</v>
      </c>
      <c r="AM55" s="17">
        <f>IF(ISERROR(RU55/AB55),0,X55/AB55)</f>
        <v>0.54434477465147102</v>
      </c>
      <c r="AN55" s="18">
        <f>IF(ISERROR(X55/AB55),0,(X55+AD55)/AB55)</f>
        <v>0.74408104276866172</v>
      </c>
      <c r="AO55" s="108">
        <f>IF($B$2="Original",IF($AI55=0,"-",(VLOOKUP(Y55,'APP 2885'!$B$10:$G$54,4)*$R55)/($X55+$AD55)),IF($AI55=0,"-",(VLOOKUP(AA55,'APP 2885'!$B$10:$G$54,4)*$R55)/($X55+$AD55)))</f>
        <v>1.8143571509886196</v>
      </c>
    </row>
    <row r="56" spans="3:41" ht="20.100000000000001" customHeight="1" thickBot="1" x14ac:dyDescent="0.3">
      <c r="C56" s="119">
        <v>15</v>
      </c>
      <c r="D56" s="55" t="str">
        <f>E56&amp;"_"&amp;F56&amp;"_"&amp;G56</f>
        <v>High-Efficiency Natural Gas Furnace_Zone 3_95+% Annual Fuel Utilization Efficiency (AFUE)</v>
      </c>
      <c r="E56" s="3" t="s">
        <v>53</v>
      </c>
      <c r="F56" s="3" t="s">
        <v>24</v>
      </c>
      <c r="G56" s="3" t="s">
        <v>36</v>
      </c>
      <c r="H56" s="3" t="s">
        <v>36</v>
      </c>
      <c r="I56" s="4">
        <v>817</v>
      </c>
      <c r="J56" s="4">
        <v>821</v>
      </c>
      <c r="K56" s="4"/>
      <c r="L56" s="4">
        <f>(R56/Q56)</f>
        <v>217.15688908536688</v>
      </c>
      <c r="M56" s="131">
        <v>4.24E-2</v>
      </c>
      <c r="N56" s="70">
        <v>78</v>
      </c>
      <c r="O56" s="70">
        <f>'Res Measure Mapping'!R53</f>
        <v>83.804070304423576</v>
      </c>
      <c r="P56" s="70" t="str">
        <f>INDEX('Res Measure Mapping'!$S:$S,MATCH($D56,'Res Measure Mapping'!$B:$B,0))</f>
        <v>kBTU/hr</v>
      </c>
      <c r="Q56" s="70">
        <f>O56</f>
        <v>83.804070304423576</v>
      </c>
      <c r="R56" s="135">
        <f>M56*$R$92</f>
        <v>18198.6312</v>
      </c>
      <c r="S56" s="5">
        <v>1024</v>
      </c>
      <c r="T56" s="76">
        <f>'Res Measure Mapping'!T53</f>
        <v>2537.6999999999994</v>
      </c>
      <c r="U56" s="5">
        <f>S56</f>
        <v>1024</v>
      </c>
      <c r="V56" s="5">
        <f>IF($B$2="Original",PV($F$96,$Y56,(-0.05*0.95*$N56)),PV($F$96,$AA56,(-0.05*0.95*$Q56)))</f>
        <v>60.024936829210965</v>
      </c>
      <c r="W56" s="5">
        <f>IF($B$2="Original",IF(ISNUMBER(S56),S56*L56,""),IF(ISNUMBER(U56),U56*L56,""))</f>
        <v>222368.65442341569</v>
      </c>
      <c r="X56" s="6">
        <f>W56-L56*(V56)</f>
        <v>209333.82587403856</v>
      </c>
      <c r="Y56" s="4">
        <v>18</v>
      </c>
      <c r="Z56" s="70">
        <f>IF(INDEX('Res Measure Mapping'!$U:$U,MATCH($D56,'Res Measure Mapping'!$B:$B,0))="N/A",Y56,INDEX('Res Measure Mapping'!$U:$U,MATCH($D56,'Res Measure Mapping'!$B:$B,0)))</f>
        <v>21.5</v>
      </c>
      <c r="AA56" s="4">
        <f>Z56</f>
        <v>21.5</v>
      </c>
      <c r="AB56" s="4">
        <f>IF($B$2="Original",PV($F$96,$Y56,-$R56),PV($F$96,$AA56,-$R56))</f>
        <v>274417.44314478146</v>
      </c>
      <c r="AC56" s="4">
        <f>IF($B$2="Original",PV($F$96,$Y56,-$R56),PV($F$96,$AA56,-$R56))</f>
        <v>274417.44314478146</v>
      </c>
      <c r="AD56" s="7">
        <f>(R56/$R$92)*$AD$92</f>
        <v>54811.116000000002</v>
      </c>
      <c r="AE56" s="5">
        <v>400</v>
      </c>
      <c r="AF56" s="76">
        <f>'Res Measure Mapping'!V53</f>
        <v>656.81004653095204</v>
      </c>
      <c r="AG56" s="70" t="str">
        <f>INDEX('Res Measure Mapping'!$S:$S,MATCH($D56,'Res Measure Mapping'!$B:$B,0))</f>
        <v>kBTU/hr</v>
      </c>
      <c r="AH56" s="5">
        <v>650</v>
      </c>
      <c r="AI56" s="5">
        <f>IF($B$2="Original",IF(ISNUMBER(AE56),AE56*L56,""),IF(ISNUMBER(AH56),AH56*L56,""))</f>
        <v>141151.97790548849</v>
      </c>
      <c r="AJ56" s="8">
        <f>IF(ISERROR(AI56/AC56),0,AI56/AC56)</f>
        <v>0.51436955423791086</v>
      </c>
      <c r="AK56" s="8">
        <f>IF(ISERROR((AD56+AI56)/AC56),0,(AD56+AI56)/AC56)</f>
        <v>0.71410582235510156</v>
      </c>
      <c r="AL56" s="81">
        <f>IF($B$2="Original",IF($AI56=0,"-",(VLOOKUP(Y56,'APP 2885'!$B$10:$G$54,6)*$R56)/($AI56+$AD56)),IF($AI56=0,"-",(VLOOKUP(AA56,'APP 2885'!$B$10:$G$54,6)*$R56)/($AI56+$AD56)))</f>
        <v>2.0795680282384974</v>
      </c>
      <c r="AM56" s="9">
        <f>IF(ISERROR(RU56/AB56),0,X56/AB56)</f>
        <v>0.76282988236864713</v>
      </c>
      <c r="AN56" s="10">
        <f>IF(ISERROR(X56/AB56),0,(X56+AD56)/AB56)</f>
        <v>0.96256615048583782</v>
      </c>
      <c r="AO56" s="107">
        <f>IF($B$2="Original",IF($AI56=0,"-",(VLOOKUP(Y56,'APP 2885'!$B$10:$G$54,4)*$R56)/($X56+$AD56)),IF($AI56=0,"-",(VLOOKUP(AA56,'APP 2885'!$B$10:$G$54,4)*$R56)/($X56+$AD56)))</f>
        <v>1.4025308911818557</v>
      </c>
    </row>
    <row r="57" spans="3:41" ht="20.100000000000001" customHeight="1" thickBot="1" x14ac:dyDescent="0.3">
      <c r="C57" s="119">
        <v>16</v>
      </c>
      <c r="D57" s="55" t="str">
        <f>E57&amp;"_"&amp;F57&amp;"_"&amp;G57</f>
        <v>High-Efficiency Natural Gas Furnace_Zone 3_95+% Annual Fuel Utilization Efficiency (AFUE)</v>
      </c>
      <c r="E57" s="11" t="s">
        <v>53</v>
      </c>
      <c r="F57" s="11" t="s">
        <v>24</v>
      </c>
      <c r="G57" s="11" t="s">
        <v>36</v>
      </c>
      <c r="H57" s="11" t="s">
        <v>202</v>
      </c>
      <c r="I57" s="12">
        <v>16</v>
      </c>
      <c r="J57" s="12">
        <v>16</v>
      </c>
      <c r="K57" s="12"/>
      <c r="L57" s="12">
        <f>(R57/Q57)</f>
        <v>395.42394680122425</v>
      </c>
      <c r="M57" s="132">
        <v>9.2648087279134012E-2</v>
      </c>
      <c r="N57" s="71">
        <v>111</v>
      </c>
      <c r="O57" s="73">
        <f>'Res Measure Mapping'!R52</f>
        <v>100.56488436530832</v>
      </c>
      <c r="P57" s="73" t="str">
        <f>INDEX('Res Measure Mapping'!$S:$S,MATCH($D57,'Res Measure Mapping'!$B:$B,0))</f>
        <v>kBTU/hr</v>
      </c>
      <c r="Q57" s="71">
        <f>O57</f>
        <v>100.56488436530832</v>
      </c>
      <c r="R57" s="136">
        <f>M57*$R$92</f>
        <v>39765.763485338946</v>
      </c>
      <c r="S57" s="13">
        <v>1024</v>
      </c>
      <c r="T57" s="77">
        <f>IF(INDEX('Res Measure Mapping'!$T:$T,MATCH($D57,'Res Measure Mapping'!$B:$B,0))="N/A",S57,INDEX('Res Measure Mapping'!$T:$T,MATCH($D57,'Res Measure Mapping'!$B:$B,0)))</f>
        <v>3045.24</v>
      </c>
      <c r="U57" s="13">
        <f>S57</f>
        <v>1024</v>
      </c>
      <c r="V57" s="13">
        <f>IF($B$2="Original",PV($F$96,$Y57,(-0.05*0.95*$N57)),PV($F$96,$AA57,(-0.05*0.95*$Q57)))</f>
        <v>72.029924195053169</v>
      </c>
      <c r="W57" s="13">
        <f>IF($B$2="Original",IF(ISNUMBER(S57),S57*L57,""),IF(ISNUMBER(U57),U57*L57,""))</f>
        <v>404914.12152445363</v>
      </c>
      <c r="X57" s="14">
        <f>W57-L57*(V57)</f>
        <v>376431.7646114527</v>
      </c>
      <c r="Y57" s="12">
        <v>18</v>
      </c>
      <c r="Z57" s="73">
        <f>IF(INDEX('Res Measure Mapping'!$U:$U,MATCH($D57,'Res Measure Mapping'!$B:$B,0))="N/A",Y57,INDEX('Res Measure Mapping'!$U:$U,MATCH($D57,'Res Measure Mapping'!$B:$B,0)))</f>
        <v>21.5</v>
      </c>
      <c r="AA57" s="12">
        <f>Z57</f>
        <v>21.5</v>
      </c>
      <c r="AB57" s="12">
        <f>IF($B$2="Original",PV($F$96,$Y57,-$R57),PV($F$96,$AA57,-$R57))</f>
        <v>599628.56658949307</v>
      </c>
      <c r="AC57" s="12">
        <f>IF($B$2="Original",PV($F$96,$Y57,-$R57),PV($F$96,$AA57,-$R57))</f>
        <v>599628.56658949307</v>
      </c>
      <c r="AD57" s="15">
        <f>(R57/$R$92)*$AD$92</f>
        <v>119767.57214704572</v>
      </c>
      <c r="AE57" s="13">
        <v>400</v>
      </c>
      <c r="AF57" s="77">
        <f>ROUND(IF(INDEX('Res Measure Mapping'!$V:$V,MATCH($D57,'Res Measure Mapping'!$B:$B,0))="N/A",AE57,INDEX('Res Measure Mapping'!$V:$V,MATCH($D57,'Res Measure Mapping'!$B:$B,0))),0)</f>
        <v>788</v>
      </c>
      <c r="AG57" s="73" t="str">
        <f>INDEX('Res Measure Mapping'!$S:$S,MATCH($D57,'Res Measure Mapping'!$B:$B,0))</f>
        <v>kBTU/hr</v>
      </c>
      <c r="AH57" s="13">
        <v>900</v>
      </c>
      <c r="AI57" s="13">
        <f>IF($B$2="Original",IF(ISNUMBER(AE57),AE57*L57,""),IF(ISNUMBER(AH57),AH57*L57,""))</f>
        <v>355881.55212110182</v>
      </c>
      <c r="AJ57" s="16">
        <f>IF(ISERROR(AI57/AC57),0,AI57/AC57)</f>
        <v>0.59350333181297388</v>
      </c>
      <c r="AK57" s="16">
        <f>IF(ISERROR((AD57+AI57)/AC57),0,(AD57+AI57)/AC57)</f>
        <v>0.79323959993016457</v>
      </c>
      <c r="AL57" s="82">
        <f>IF($B$2="Original",IF($AI57=0,"-",(VLOOKUP(Y57,'APP 2885'!$B$10:$G$54,6)*$R57)/($AI57+$AD57)),IF($AI57=0,"-",(VLOOKUP(AA57,'APP 2885'!$B$10:$G$54,6)*$R57)/($AI57+$AD57)))</f>
        <v>1.8721098103011613</v>
      </c>
      <c r="AM57" s="17">
        <f>IF(ISERROR(RU57/AB57),0,X57/AB57)</f>
        <v>0.62777490197387253</v>
      </c>
      <c r="AN57" s="18">
        <f>IF(ISERROR(X57/AB57),0,(X57+AD57)/AB57)</f>
        <v>0.82751117009106323</v>
      </c>
      <c r="AO57" s="108">
        <f>IF($B$2="Original",IF($AI57=0,"-",(VLOOKUP(Y57,'APP 2885'!$B$10:$G$54,4)*$R57)/($X57+$AD57)),IF($AI57=0,"-",(VLOOKUP(AA57,'APP 2885'!$B$10:$G$54,4)*$R57)/($X57+$AD57)))</f>
        <v>1.6314326738499818</v>
      </c>
    </row>
    <row r="58" spans="3:41" ht="20.100000000000001" customHeight="1" thickBot="1" x14ac:dyDescent="0.3">
      <c r="C58" s="119" t="s">
        <v>125</v>
      </c>
      <c r="D58" s="55" t="str">
        <f>E58&amp;"_"&amp;F58&amp;"_"&amp;G58</f>
        <v>High-Efficiency Natural Gas Hearth (Fireplace)_Zone 1_Natural Gas Hearth (Fireplace) - 70% FE Hearth</v>
      </c>
      <c r="E58" s="3" t="s">
        <v>54</v>
      </c>
      <c r="F58" s="3" t="s">
        <v>21</v>
      </c>
      <c r="G58" s="3" t="s">
        <v>55</v>
      </c>
      <c r="H58" s="3" t="str">
        <f>G58</f>
        <v>Natural Gas Hearth (Fireplace) - 70% FE Hearth</v>
      </c>
      <c r="I58" s="4">
        <v>1</v>
      </c>
      <c r="J58" s="4">
        <v>1</v>
      </c>
      <c r="K58" s="4"/>
      <c r="L58" s="4">
        <f>(R58/Q58)</f>
        <v>0</v>
      </c>
      <c r="M58" s="131">
        <v>0</v>
      </c>
      <c r="N58" s="70">
        <v>56</v>
      </c>
      <c r="O58" s="70">
        <f>IF(INDEX('Res Measure Mapping'!$R:$R,MATCH($D58,'Res Measure Mapping'!$B:$B,0))="N/A",N58,INDEX('Res Measure Mapping'!$R:$R,MATCH($D58,'Res Measure Mapping'!$B:$B,0)))</f>
        <v>27.245883386285314</v>
      </c>
      <c r="P58" s="70" t="str">
        <f>INDEX('Res Measure Mapping'!$S:$S,MATCH($D58,'Res Measure Mapping'!$B:$B,0))</f>
        <v>unit</v>
      </c>
      <c r="Q58" s="70">
        <f>N58</f>
        <v>56</v>
      </c>
      <c r="R58" s="135">
        <f>M58*$R$92</f>
        <v>0</v>
      </c>
      <c r="S58" s="5">
        <v>425</v>
      </c>
      <c r="T58" s="76">
        <f>IF(INDEX('Res Measure Mapping'!$T:$T,MATCH($D58,'Res Measure Mapping'!$B:$B,0))="N/A",S58,INDEX('Res Measure Mapping'!$T:$T,MATCH($D58,'Res Measure Mapping'!$B:$B,0)))</f>
        <v>256.39</v>
      </c>
      <c r="U58" s="5">
        <f>S58</f>
        <v>425</v>
      </c>
      <c r="V58" s="5">
        <f>IF($B$2="Original",PV($F$96,$Y58,(-0.05*0.95*$N58)),PV($F$96,$AA58,(-0.05*0.95*$Q58)))</f>
        <v>38.149365901048498</v>
      </c>
      <c r="W58" s="5">
        <f>IF($B$2="Original",IF(ISNUMBER(S58),S58*L58,""),IF(ISNUMBER(U58),U58*L58,""))</f>
        <v>0</v>
      </c>
      <c r="X58" s="6">
        <f>W58-L58*(V58)</f>
        <v>0</v>
      </c>
      <c r="Y58" s="4">
        <v>20</v>
      </c>
      <c r="Z58" s="70">
        <f>IF(INDEX('Res Measure Mapping'!$U:$U,MATCH($D58,'Res Measure Mapping'!$B:$B,0))="N/A",Y58,INDEX('Res Measure Mapping'!$U:$U,MATCH($D58,'Res Measure Mapping'!$B:$B,0)))</f>
        <v>20</v>
      </c>
      <c r="AA58" s="4">
        <f>Z58</f>
        <v>20</v>
      </c>
      <c r="AB58" s="4">
        <f>IF($B$2="Original",PV($F$96,$Y58,-$R58),PV($F$96,$AA58,-$R58))</f>
        <v>0</v>
      </c>
      <c r="AC58" s="4">
        <f>IF($B$2="Original",PV($F$96,$Y58,-$R58),PV($F$96,$AA58,-$R58))</f>
        <v>0</v>
      </c>
      <c r="AD58" s="7">
        <f>(R58/$R$92)*$AD$92</f>
        <v>0</v>
      </c>
      <c r="AE58" s="5">
        <v>250</v>
      </c>
      <c r="AF58" s="76">
        <f>ROUND(IF(INDEX('Res Measure Mapping'!$V:$V,MATCH($D58,'Res Measure Mapping'!$B:$B,0))="N/A",AE58,INDEX('Res Measure Mapping'!$V:$V,MATCH($D58,'Res Measure Mapping'!$B:$B,0))),0)</f>
        <v>100</v>
      </c>
      <c r="AG58" s="70" t="str">
        <f>INDEX('Res Measure Mapping'!$S:$S,MATCH($D58,'Res Measure Mapping'!$B:$B,0))</f>
        <v>unit</v>
      </c>
      <c r="AH58" s="5">
        <f>AE58</f>
        <v>250</v>
      </c>
      <c r="AI58" s="5">
        <f>IF($B$2="Original",IF(ISNUMBER(AE58),AE58*L58,""),IF(ISNUMBER(AH58),AH58*L58,""))</f>
        <v>0</v>
      </c>
      <c r="AJ58" s="8">
        <f>IF(ISERROR(AI58/AC58),0,AI58/AC58)</f>
        <v>0</v>
      </c>
      <c r="AK58" s="8">
        <f>IF(ISERROR((AD58+AI58)/AC58),0,(AD58+AI58)/AC58)</f>
        <v>0</v>
      </c>
      <c r="AL58" s="81" t="str">
        <f>IF($B$2="Original",IF($AI58=0,"-",(VLOOKUP(Y58,'APP 2885'!$B$10:$G$54,6)*$R58)/($AI58+$AD58)),IF($AI58=0,"-",(VLOOKUP(AA58,'APP 2885'!$B$10:$G$54,6)*$R58)/($AI58+$AD58)))</f>
        <v>-</v>
      </c>
      <c r="AM58" s="9">
        <f>IF(ISERROR(RU58/AB58),0,X58/AB58)</f>
        <v>0</v>
      </c>
      <c r="AN58" s="10">
        <f>IF(ISERROR(X58/AB58),0,(X58+AD58)/AB58)</f>
        <v>0</v>
      </c>
      <c r="AO58" s="107" t="str">
        <f>IF($B$2="Original",IF($AI58=0,"-",(VLOOKUP(Y58,'APP 2885'!$B$10:$G$54,4)*$R58)/($X58+$AD58)),IF($AI58=0,"-",(VLOOKUP(AA58,'APP 2885'!$B$10:$G$54,4)*$R58)/($X58+$AD58)))</f>
        <v>-</v>
      </c>
    </row>
    <row r="59" spans="3:41" ht="20.100000000000001" customHeight="1" thickBot="1" x14ac:dyDescent="0.3">
      <c r="C59" s="119">
        <v>19</v>
      </c>
      <c r="D59" s="55" t="str">
        <f>E59&amp;"_"&amp;F59&amp;"_"&amp;G59</f>
        <v>High-Efficiency Natural Gas Hearth (Fireplace)_Zone 1_High-Efficiency Natural Gas Fireplace</v>
      </c>
      <c r="E59" s="11" t="s">
        <v>54</v>
      </c>
      <c r="F59" s="11" t="s">
        <v>21</v>
      </c>
      <c r="G59" s="11" t="s">
        <v>56</v>
      </c>
      <c r="H59" s="11" t="str">
        <f>G59</f>
        <v>High-Efficiency Natural Gas Fireplace</v>
      </c>
      <c r="I59" s="12">
        <v>87</v>
      </c>
      <c r="J59" s="12">
        <v>98</v>
      </c>
      <c r="K59" s="12"/>
      <c r="L59" s="12">
        <f>(R59/Q59)</f>
        <v>61.507343645967232</v>
      </c>
      <c r="M59" s="132">
        <v>8.0249462252405326E-3</v>
      </c>
      <c r="N59" s="71">
        <v>56</v>
      </c>
      <c r="O59" s="73">
        <f>IF(INDEX('Res Measure Mapping'!$R:$R,MATCH($D59,'Res Measure Mapping'!$B:$B,0))="N/A",N59,INDEX('Res Measure Mapping'!$R:$R,MATCH($D59,'Res Measure Mapping'!$B:$B,0)))</f>
        <v>27.245883386285314</v>
      </c>
      <c r="P59" s="73" t="str">
        <f>INDEX('Res Measure Mapping'!$S:$S,MATCH($D59,'Res Measure Mapping'!$B:$B,0))</f>
        <v>unit</v>
      </c>
      <c r="Q59" s="71">
        <f>N59</f>
        <v>56</v>
      </c>
      <c r="R59" s="136">
        <f>M59*$R$92</f>
        <v>3444.4112441741649</v>
      </c>
      <c r="S59" s="13">
        <v>425</v>
      </c>
      <c r="T59" s="77">
        <f>IF(INDEX('Res Measure Mapping'!$T:$T,MATCH($D59,'Res Measure Mapping'!$B:$B,0))="N/A",S59,INDEX('Res Measure Mapping'!$T:$T,MATCH($D59,'Res Measure Mapping'!$B:$B,0)))</f>
        <v>256.39</v>
      </c>
      <c r="U59" s="13">
        <f>S59</f>
        <v>425</v>
      </c>
      <c r="V59" s="13">
        <f>IF($B$2="Original",PV($F$96,$Y59,(-0.05*0.95*$N59)),PV($F$96,$AA59,(-0.05*0.95*$Q59)))</f>
        <v>38.149365901048498</v>
      </c>
      <c r="W59" s="13">
        <f>IF($B$2="Original",IF(ISNUMBER(S59),S59*L59,""),IF(ISNUMBER(U59),U59*L59,""))</f>
        <v>26140.621049536072</v>
      </c>
      <c r="X59" s="14">
        <f>W59-L59*(V59)</f>
        <v>23794.154891184538</v>
      </c>
      <c r="Y59" s="12">
        <v>20</v>
      </c>
      <c r="Z59" s="73">
        <f>IF(INDEX('Res Measure Mapping'!$U:$U,MATCH($D59,'Res Measure Mapping'!$B:$B,0))="N/A",Y59,INDEX('Res Measure Mapping'!$U:$U,MATCH($D59,'Res Measure Mapping'!$B:$B,0)))</f>
        <v>20</v>
      </c>
      <c r="AA59" s="12">
        <f>Z59</f>
        <v>20</v>
      </c>
      <c r="AB59" s="12">
        <f>IF($B$2="Original",PV($F$96,$Y59,-$R59),PV($F$96,$AA59,-$R59))</f>
        <v>49399.287544242827</v>
      </c>
      <c r="AC59" s="12">
        <f>IF($B$2="Original",PV($F$96,$Y59,-$R59),PV($F$96,$AA59,-$R59))</f>
        <v>49399.287544242827</v>
      </c>
      <c r="AD59" s="15">
        <f>(R59/$R$92)*$AD$92</f>
        <v>10373.968359561815</v>
      </c>
      <c r="AE59" s="13">
        <v>300</v>
      </c>
      <c r="AF59" s="77">
        <f>ROUND(IF(INDEX('Res Measure Mapping'!$V:$V,MATCH($D59,'Res Measure Mapping'!$B:$B,0))="N/A",AE59,INDEX('Res Measure Mapping'!$V:$V,MATCH($D59,'Res Measure Mapping'!$B:$B,0))),0)</f>
        <v>100</v>
      </c>
      <c r="AG59" s="73" t="str">
        <f>INDEX('Res Measure Mapping'!$S:$S,MATCH($D59,'Res Measure Mapping'!$B:$B,0))</f>
        <v>unit</v>
      </c>
      <c r="AH59" s="13">
        <f>AE59</f>
        <v>300</v>
      </c>
      <c r="AI59" s="13">
        <f>IF($B$2="Original",IF(ISNUMBER(AE59),AE59*L59,""),IF(ISNUMBER(AH59),AH59*L59,""))</f>
        <v>18452.203093790169</v>
      </c>
      <c r="AJ59" s="16">
        <f>IF(ISERROR(AI59/AC59),0,AI59/AC59)</f>
        <v>0.37353176555965645</v>
      </c>
      <c r="AK59" s="16">
        <f>IF(ISERROR((AD59+AI59)/AC59),0,(AD59+AI59)/AC59)</f>
        <v>0.58353415375747641</v>
      </c>
      <c r="AL59" s="82">
        <f>IF($B$2="Original",IF($AI59=0,"-",(VLOOKUP(Y59,'APP 2885'!$B$10:$G$54,6)*$R59)/($AI59+$AD59)),IF($AI59=0,"-",(VLOOKUP(AA59,'APP 2885'!$B$10:$G$54,6)*$R59)/($AI59+$AD59)))</f>
        <v>2.5260035241430212</v>
      </c>
      <c r="AM59" s="17">
        <f>IF(ISERROR(RU59/AB59),0,X59/AB59)</f>
        <v>0.48167000120951331</v>
      </c>
      <c r="AN59" s="18">
        <f>IF(ISERROR(X59/AB59),0,(X59+AD59)/AB59)</f>
        <v>0.69167238940733333</v>
      </c>
      <c r="AO59" s="108">
        <f>IF($B$2="Original",IF($AI59=0,"-",(VLOOKUP(Y59,'APP 2885'!$B$10:$G$54,4)*$R59)/($X59+$AD59)),IF($AI59=0,"-",(VLOOKUP(AA59,'APP 2885'!$B$10:$G$54,4)*$R59)/($X59+$AD59)))</f>
        <v>1.9373456296559717</v>
      </c>
    </row>
    <row r="60" spans="3:41" ht="20.100000000000001" customHeight="1" thickBot="1" x14ac:dyDescent="0.3">
      <c r="C60" s="119">
        <v>19</v>
      </c>
      <c r="D60" s="55" t="str">
        <f>E60&amp;"_"&amp;F60&amp;"_"&amp;G60</f>
        <v>High-Efficiency Natural Gas Hearth (Fireplace)_Zone 2_High-Efficiency Natural Gas Fireplace</v>
      </c>
      <c r="E60" s="3" t="s">
        <v>54</v>
      </c>
      <c r="F60" s="3" t="s">
        <v>23</v>
      </c>
      <c r="G60" s="3" t="s">
        <v>56</v>
      </c>
      <c r="H60" s="3" t="str">
        <f>G60</f>
        <v>High-Efficiency Natural Gas Fireplace</v>
      </c>
      <c r="I60" s="4">
        <v>21</v>
      </c>
      <c r="J60" s="4">
        <v>21</v>
      </c>
      <c r="K60" s="4"/>
      <c r="L60" s="4">
        <f>(R60/Q60)</f>
        <v>28.872109659617223</v>
      </c>
      <c r="M60" s="131">
        <v>3.7669831550735055E-3</v>
      </c>
      <c r="N60" s="70">
        <v>56</v>
      </c>
      <c r="O60" s="70">
        <f>IF(INDEX('Res Measure Mapping'!$R:$R,MATCH($D60,'Res Measure Mapping'!$B:$B,0))="N/A",N60,INDEX('Res Measure Mapping'!$R:$R,MATCH($D60,'Res Measure Mapping'!$B:$B,0)))</f>
        <v>27.245883386285314</v>
      </c>
      <c r="P60" s="70" t="str">
        <f>INDEX('Res Measure Mapping'!$S:$S,MATCH($D60,'Res Measure Mapping'!$B:$B,0))</f>
        <v>unit</v>
      </c>
      <c r="Q60" s="70">
        <f>N60</f>
        <v>56</v>
      </c>
      <c r="R60" s="135">
        <f>M60*$R$92</f>
        <v>1616.8381409385645</v>
      </c>
      <c r="S60" s="5">
        <v>425</v>
      </c>
      <c r="T60" s="76">
        <f>IF(INDEX('Res Measure Mapping'!$T:$T,MATCH($D60,'Res Measure Mapping'!$B:$B,0))="N/A",S60,INDEX('Res Measure Mapping'!$T:$T,MATCH($D60,'Res Measure Mapping'!$B:$B,0)))</f>
        <v>256.39</v>
      </c>
      <c r="U60" s="5">
        <f>S60</f>
        <v>425</v>
      </c>
      <c r="V60" s="5">
        <f>IF($B$2="Original",PV($F$96,$Y60,(-0.05*0.95*$N60)),PV($F$96,$AA60,(-0.05*0.95*$Q60)))</f>
        <v>38.149365901048498</v>
      </c>
      <c r="W60" s="5">
        <f>IF($B$2="Original",IF(ISNUMBER(S60),S60*L60,""),IF(ISNUMBER(U60),U60*L60,""))</f>
        <v>12270.646605337321</v>
      </c>
      <c r="X60" s="6">
        <f>W60-L60*(V60)</f>
        <v>11169.193929597386</v>
      </c>
      <c r="Y60" s="4">
        <v>20</v>
      </c>
      <c r="Z60" s="70">
        <f>IF(INDEX('Res Measure Mapping'!$U:$U,MATCH($D60,'Res Measure Mapping'!$B:$B,0))="N/A",Y60,INDEX('Res Measure Mapping'!$U:$U,MATCH($D60,'Res Measure Mapping'!$B:$B,0)))</f>
        <v>20</v>
      </c>
      <c r="AA60" s="4">
        <f>Z60</f>
        <v>20</v>
      </c>
      <c r="AB60" s="4">
        <f>IF($B$2="Original",PV($F$96,$Y60,-$R60),PV($F$96,$AA60,-$R60))</f>
        <v>23188.477383998616</v>
      </c>
      <c r="AC60" s="4">
        <f>IF($B$2="Original",PV($F$96,$Y60,-$R60),PV($F$96,$AA60,-$R60))</f>
        <v>23188.477383998616</v>
      </c>
      <c r="AD60" s="7">
        <f>(R60/$R$92)*$AD$92</f>
        <v>4869.6356293108465</v>
      </c>
      <c r="AE60" s="5">
        <v>300</v>
      </c>
      <c r="AF60" s="76">
        <f>ROUND(IF(INDEX('Res Measure Mapping'!$V:$V,MATCH($D60,'Res Measure Mapping'!$B:$B,0))="N/A",AE60,INDEX('Res Measure Mapping'!$V:$V,MATCH($D60,'Res Measure Mapping'!$B:$B,0))),0)</f>
        <v>100</v>
      </c>
      <c r="AG60" s="70" t="str">
        <f>INDEX('Res Measure Mapping'!$S:$S,MATCH($D60,'Res Measure Mapping'!$B:$B,0))</f>
        <v>unit</v>
      </c>
      <c r="AH60" s="5">
        <f>AE60</f>
        <v>300</v>
      </c>
      <c r="AI60" s="5">
        <f>IF($B$2="Original",IF(ISNUMBER(AE60),AE60*L60,""),IF(ISNUMBER(AH60),AH60*L60,""))</f>
        <v>8661.632897885167</v>
      </c>
      <c r="AJ60" s="8">
        <f>IF(ISERROR(AI60/AC60),0,AI60/AC60)</f>
        <v>0.37353176555965645</v>
      </c>
      <c r="AK60" s="8">
        <f>IF(ISERROR((AD60+AI60)/AC60),0,(AD60+AI60)/AC60)</f>
        <v>0.58353415375747653</v>
      </c>
      <c r="AL60" s="81">
        <f>IF($B$2="Original",IF($AI60=0,"-",(VLOOKUP(Y60,'APP 2885'!$B$10:$G$54,6)*$R60)/($AI60+$AD60)),IF($AI60=0,"-",(VLOOKUP(AA60,'APP 2885'!$B$10:$G$54,6)*$R60)/($AI60+$AD60)))</f>
        <v>2.5260035241430208</v>
      </c>
      <c r="AM60" s="9">
        <f>IF(ISERROR(RU60/AB60),0,X60/AB60)</f>
        <v>0.48167000120951337</v>
      </c>
      <c r="AN60" s="10">
        <f>IF(ISERROR(X60/AB60),0,(X60+AD60)/AB60)</f>
        <v>0.69167238940733333</v>
      </c>
      <c r="AO60" s="107">
        <f>IF($B$2="Original",IF($AI60=0,"-",(VLOOKUP(Y60,'APP 2885'!$B$10:$G$54,4)*$R60)/($X60+$AD60)),IF($AI60=0,"-",(VLOOKUP(AA60,'APP 2885'!$B$10:$G$54,4)*$R60)/($X60+$AD60)))</f>
        <v>1.9373456296559719</v>
      </c>
    </row>
    <row r="61" spans="3:41" ht="20.100000000000001" customHeight="1" thickBot="1" x14ac:dyDescent="0.3">
      <c r="C61" s="119">
        <v>19</v>
      </c>
      <c r="D61" s="55" t="str">
        <f>E61&amp;"_"&amp;F61&amp;"_"&amp;G61</f>
        <v>High-Efficiency Natural Gas Hearth (Fireplace)_Zone 3_High-Efficiency Natural Gas Fireplace</v>
      </c>
      <c r="E61" s="11" t="s">
        <v>54</v>
      </c>
      <c r="F61" s="11" t="s">
        <v>24</v>
      </c>
      <c r="G61" s="11" t="s">
        <v>56</v>
      </c>
      <c r="H61" s="11" t="str">
        <f>G61</f>
        <v>High-Efficiency Natural Gas Fireplace</v>
      </c>
      <c r="I61" s="12">
        <v>35</v>
      </c>
      <c r="J61" s="12">
        <v>38</v>
      </c>
      <c r="K61" s="12"/>
      <c r="L61" s="12">
        <f>(R61/Q61)</f>
        <v>41.791775685108767</v>
      </c>
      <c r="M61" s="132">
        <v>5.5499978193838482E-3</v>
      </c>
      <c r="N61" s="71">
        <v>57</v>
      </c>
      <c r="O61" s="73">
        <f>IF(INDEX('Res Measure Mapping'!$R:$R,MATCH($D61,'Res Measure Mapping'!$B:$B,0))="N/A",N61,INDEX('Res Measure Mapping'!$R:$R,MATCH($D61,'Res Measure Mapping'!$B:$B,0)))</f>
        <v>27.245883386285314</v>
      </c>
      <c r="P61" s="73" t="str">
        <f>INDEX('Res Measure Mapping'!$S:$S,MATCH($D61,'Res Measure Mapping'!$B:$B,0))</f>
        <v>unit</v>
      </c>
      <c r="Q61" s="71">
        <f>N61</f>
        <v>57</v>
      </c>
      <c r="R61" s="136">
        <f>M61*$R$92</f>
        <v>2382.1312140511995</v>
      </c>
      <c r="S61" s="13">
        <v>425</v>
      </c>
      <c r="T61" s="77">
        <f>IF(INDEX('Res Measure Mapping'!$T:$T,MATCH($D61,'Res Measure Mapping'!$B:$B,0))="N/A",S61,INDEX('Res Measure Mapping'!$T:$T,MATCH($D61,'Res Measure Mapping'!$B:$B,0)))</f>
        <v>256.39</v>
      </c>
      <c r="U61" s="13">
        <f>S61</f>
        <v>425</v>
      </c>
      <c r="V61" s="13">
        <f>IF($B$2="Original",PV($F$96,$Y61,(-0.05*0.95*$N61)),PV($F$96,$AA61,(-0.05*0.95*$Q61)))</f>
        <v>38.830604577852938</v>
      </c>
      <c r="W61" s="13">
        <f>IF($B$2="Original",IF(ISNUMBER(S61),S61*L61,""),IF(ISNUMBER(U61),U61*L61,""))</f>
        <v>17761.504666171226</v>
      </c>
      <c r="X61" s="14">
        <f>W61-L61*(V61)</f>
        <v>16138.704749936438</v>
      </c>
      <c r="Y61" s="12">
        <v>20</v>
      </c>
      <c r="Z61" s="73">
        <f>IF(INDEX('Res Measure Mapping'!$U:$U,MATCH($D61,'Res Measure Mapping'!$B:$B,0))="N/A",Y61,INDEX('Res Measure Mapping'!$U:$U,MATCH($D61,'Res Measure Mapping'!$B:$B,0)))</f>
        <v>20</v>
      </c>
      <c r="AA61" s="12">
        <f>Z61</f>
        <v>20</v>
      </c>
      <c r="AB61" s="12">
        <f>IF($B$2="Original",PV($F$96,$Y61,-$R61),PV($F$96,$AA61,-$R61))</f>
        <v>34164.208762837632</v>
      </c>
      <c r="AC61" s="12">
        <f>IF($B$2="Original",PV($F$96,$Y61,-$R61),PV($F$96,$AA61,-$R61))</f>
        <v>34164.208762837632</v>
      </c>
      <c r="AD61" s="15">
        <f>(R61/$R$92)*$AD$92</f>
        <v>7174.5654310847913</v>
      </c>
      <c r="AE61" s="13">
        <v>300</v>
      </c>
      <c r="AF61" s="77">
        <f>ROUND(IF(INDEX('Res Measure Mapping'!$V:$V,MATCH($D61,'Res Measure Mapping'!$B:$B,0))="N/A",AE61,INDEX('Res Measure Mapping'!$V:$V,MATCH($D61,'Res Measure Mapping'!$B:$B,0))),0)</f>
        <v>100</v>
      </c>
      <c r="AG61" s="73" t="str">
        <f>INDEX('Res Measure Mapping'!$S:$S,MATCH($D61,'Res Measure Mapping'!$B:$B,0))</f>
        <v>unit</v>
      </c>
      <c r="AH61" s="13">
        <f>AE61</f>
        <v>300</v>
      </c>
      <c r="AI61" s="13">
        <f>IF($B$2="Original",IF(ISNUMBER(AE61),AE61*L61,""),IF(ISNUMBER(AH61),AH61*L61,""))</f>
        <v>12537.532705532631</v>
      </c>
      <c r="AJ61" s="16">
        <f>IF(ISERROR(AI61/AC61),0,AI61/AC61)</f>
        <v>0.3669785766901888</v>
      </c>
      <c r="AK61" s="16">
        <f>IF(ISERROR((AD61+AI61)/AC61),0,(AD61+AI61)/AC61)</f>
        <v>0.57698096488800887</v>
      </c>
      <c r="AL61" s="82">
        <f>IF($B$2="Original",IF($AI61=0,"-",(VLOOKUP(Y61,'APP 2885'!$B$10:$G$54,6)*$R61)/($AI61+$AD61)),IF($AI61=0,"-",(VLOOKUP(AA61,'APP 2885'!$B$10:$G$54,6)*$R61)/($AI61+$AD61)))</f>
        <v>2.5546931676252158</v>
      </c>
      <c r="AM61" s="17">
        <f>IF(ISERROR(RU61/AB61),0,X61/AB61)</f>
        <v>0.47238631697776745</v>
      </c>
      <c r="AN61" s="18">
        <f>IF(ISERROR(X61/AB61),0,(X61+AD61)/AB61)</f>
        <v>0.68238870517558747</v>
      </c>
      <c r="AO61" s="108">
        <f>IF($B$2="Original",IF($AI61=0,"-",(VLOOKUP(Y61,'APP 2885'!$B$10:$G$54,4)*$R61)/($X61+$AD61)),IF($AI61=0,"-",(VLOOKUP(AA61,'APP 2885'!$B$10:$G$54,4)*$R61)/($X61+$AD61)))</f>
        <v>1.9637026090975511</v>
      </c>
    </row>
    <row r="62" spans="3:41" ht="20.100000000000001" customHeight="1" thickBot="1" x14ac:dyDescent="0.3">
      <c r="C62" s="119">
        <v>18</v>
      </c>
      <c r="D62" s="55" t="str">
        <f>E62&amp;"_"&amp;F62&amp;"_"&amp;G62</f>
        <v>Programmable Thermostat_Zone 1_Programmable</v>
      </c>
      <c r="E62" s="3" t="s">
        <v>57</v>
      </c>
      <c r="F62" s="3" t="s">
        <v>21</v>
      </c>
      <c r="G62" s="3" t="s">
        <v>58</v>
      </c>
      <c r="H62" s="3" t="s">
        <v>331</v>
      </c>
      <c r="I62" s="4">
        <v>599</v>
      </c>
      <c r="J62" s="4">
        <v>640</v>
      </c>
      <c r="K62" s="4"/>
      <c r="L62" s="4">
        <f>(R62/Q62)</f>
        <v>88.503097396052993</v>
      </c>
      <c r="M62" s="131">
        <v>5.8760924134290257E-3</v>
      </c>
      <c r="N62" s="70">
        <v>18</v>
      </c>
      <c r="O62" s="70">
        <f>IF(INDEX('Res Measure Mapping'!$R:$R,MATCH($D62,'Res Measure Mapping'!$B:$B,0))="N/A",N62,INDEX('Res Measure Mapping'!$R:$R,MATCH($D62,'Res Measure Mapping'!$B:$B,0)))</f>
        <v>28.497254076415988</v>
      </c>
      <c r="P62" s="70" t="str">
        <f>INDEX('Res Measure Mapping'!$S:$S,MATCH($D62,'Res Measure Mapping'!$B:$B,0))</f>
        <v>household</v>
      </c>
      <c r="Q62" s="70">
        <f>O62</f>
        <v>28.497254076415988</v>
      </c>
      <c r="R62" s="135">
        <f>M62*$R$92</f>
        <v>2522.0952530451123</v>
      </c>
      <c r="S62" s="5">
        <v>16</v>
      </c>
      <c r="T62" s="76">
        <f>IF(INDEX('Res Measure Mapping'!$T:$T,MATCH($D62,'Res Measure Mapping'!$B:$B,0))="N/A",S62,INDEX('Res Measure Mapping'!$T:$T,MATCH($D62,'Res Measure Mapping'!$B:$B,0)))</f>
        <v>64.34</v>
      </c>
      <c r="U62" s="5">
        <f>T62</f>
        <v>64.34</v>
      </c>
      <c r="V62" s="5">
        <f>IF($B$2="Original",PV($F$96,$Y62,(-0.05*0.95*$N62)),PV($F$96,$AA62,(-0.05*0.95*$Q62)))</f>
        <v>15.701651002360951</v>
      </c>
      <c r="W62" s="5">
        <f>IF($B$2="Original",IF(ISNUMBER(S62),S62*L62,""),IF(ISNUMBER(U62),U62*L62,""))</f>
        <v>5694.2892864620499</v>
      </c>
      <c r="X62" s="6">
        <f>W62-L62*(V62)</f>
        <v>4304.6445385212655</v>
      </c>
      <c r="Y62" s="4">
        <v>10</v>
      </c>
      <c r="Z62" s="70">
        <f>IF(INDEX('Res Measure Mapping'!$U:$U,MATCH($D62,'Res Measure Mapping'!$B:$B,0))="N/A",Y62,INDEX('Res Measure Mapping'!$U:$U,MATCH($D62,'Res Measure Mapping'!$B:$B,0)))</f>
        <v>15</v>
      </c>
      <c r="AA62" s="4">
        <f>Z62</f>
        <v>15</v>
      </c>
      <c r="AB62" s="4">
        <f>IF($B$2="Original",PV($F$96,$Y62,-$R62),PV($F$96,$AA62,-$R62))</f>
        <v>29255.678904016509</v>
      </c>
      <c r="AC62" s="4">
        <f>IF($B$2="Original",PV($F$96,$Y62,-$R62),PV($F$96,$AA62,-$R62))</f>
        <v>29255.678904016509</v>
      </c>
      <c r="AD62" s="7">
        <f>(R62/$R$92)*$AD$92</f>
        <v>7596.1128042259033</v>
      </c>
      <c r="AE62" s="5">
        <v>25</v>
      </c>
      <c r="AF62" s="76">
        <f>ROUND(IF(INDEX('Res Measure Mapping'!$V:$V,MATCH($D62,'Res Measure Mapping'!$B:$B,0))="N/A",AE62,INDEX('Res Measure Mapping'!$V:$V,MATCH($D62,'Res Measure Mapping'!$B:$B,0))),0)</f>
        <v>25</v>
      </c>
      <c r="AG62" s="70" t="str">
        <f>INDEX('Res Measure Mapping'!$S:$S,MATCH($D62,'Res Measure Mapping'!$B:$B,0))</f>
        <v>household</v>
      </c>
      <c r="AH62" s="5">
        <f>AF62</f>
        <v>25</v>
      </c>
      <c r="AI62" s="5">
        <f>IF($B$2="Original",IF(ISNUMBER(AE62),AE62*L62,""),IF(ISNUMBER(AH62),AH62*L62,""))</f>
        <v>2212.577434901325</v>
      </c>
      <c r="AJ62" s="8">
        <f>IF(ISERROR(AI62/AC62),0,AI62/AC62)</f>
        <v>7.5628989577047903E-2</v>
      </c>
      <c r="AK62" s="8">
        <f>IF(ISERROR((AD62+AI62)/AC62),0,(AD62+AI62)/AC62)</f>
        <v>0.3352747434543587</v>
      </c>
      <c r="AL62" s="81">
        <f>IF($B$2="Original",IF($AI62=0,"-",(VLOOKUP(Y62,'APP 2885'!$B$10:$G$54,6)*$R62)/($AI62+$AD62)),IF($AI62=0,"-",(VLOOKUP(AA62,'APP 2885'!$B$10:$G$54,6)*$R62)/($AI62+$AD62)))</f>
        <v>3.9119389796145723</v>
      </c>
      <c r="AM62" s="9">
        <f>IF(ISERROR(RU62/AB62),0,X62/AB62)</f>
        <v>0.14713876757549049</v>
      </c>
      <c r="AN62" s="10">
        <f>IF(ISERROR(X62/AB62),0,(X62+AD62)/AB62)</f>
        <v>0.40678452145280125</v>
      </c>
      <c r="AO62" s="107">
        <f>IF($B$2="Original",IF($AI62=0,"-",(VLOOKUP(Y62,'APP 2885'!$B$10:$G$54,4)*$R62)/($X62+$AD62)),IF($AI62=0,"-",(VLOOKUP(AA62,'APP 2885'!$B$10:$G$54,4)*$R62)/($X62+$AD62)))</f>
        <v>2.9311348987222776</v>
      </c>
    </row>
    <row r="63" spans="3:41" ht="20.100000000000001" customHeight="1" thickBot="1" x14ac:dyDescent="0.3">
      <c r="C63" s="119">
        <v>18</v>
      </c>
      <c r="D63" s="55" t="str">
        <f>E63&amp;"_"&amp;F63&amp;"_"&amp;G63</f>
        <v>Programmable Thermostat_Zone 1_Programmable</v>
      </c>
      <c r="E63" s="11" t="s">
        <v>57</v>
      </c>
      <c r="F63" s="11" t="s">
        <v>21</v>
      </c>
      <c r="G63" s="11" t="s">
        <v>58</v>
      </c>
      <c r="H63" s="11" t="s">
        <v>331</v>
      </c>
      <c r="I63" s="12">
        <v>2</v>
      </c>
      <c r="J63" s="12">
        <v>2</v>
      </c>
      <c r="K63" s="12"/>
      <c r="L63" s="12">
        <f>(R63/Q63)</f>
        <v>88.503097396052993</v>
      </c>
      <c r="M63" s="132">
        <v>5.8760924134290257E-3</v>
      </c>
      <c r="N63" s="71">
        <v>18</v>
      </c>
      <c r="O63" s="73">
        <f>IF(INDEX('Res Measure Mapping'!$R:$R,MATCH($D63,'Res Measure Mapping'!$B:$B,0))="N/A",N63,INDEX('Res Measure Mapping'!$R:$R,MATCH($D63,'Res Measure Mapping'!$B:$B,0)))</f>
        <v>28.497254076415988</v>
      </c>
      <c r="P63" s="73" t="str">
        <f>INDEX('Res Measure Mapping'!$S:$S,MATCH($D63,'Res Measure Mapping'!$B:$B,0))</f>
        <v>household</v>
      </c>
      <c r="Q63" s="71">
        <f>O63</f>
        <v>28.497254076415988</v>
      </c>
      <c r="R63" s="136">
        <f>M63*$R$92</f>
        <v>2522.0952530451123</v>
      </c>
      <c r="S63" s="13">
        <v>16</v>
      </c>
      <c r="T63" s="77">
        <f>IF(INDEX('Res Measure Mapping'!$T:$T,MATCH($D63,'Res Measure Mapping'!$B:$B,0))="N/A",S63,INDEX('Res Measure Mapping'!$T:$T,MATCH($D63,'Res Measure Mapping'!$B:$B,0)))</f>
        <v>64.34</v>
      </c>
      <c r="U63" s="13">
        <f>T63</f>
        <v>64.34</v>
      </c>
      <c r="V63" s="13">
        <f>IF($B$2="Original",PV($F$96,$Y63,(-0.05*0.95*$N63)),PV($F$96,$AA63,(-0.05*0.95*$Q63)))</f>
        <v>15.701651002360951</v>
      </c>
      <c r="W63" s="13">
        <f>IF($B$2="Original",IF(ISNUMBER(S63),S63*L63,""),IF(ISNUMBER(U63),U63*L63,""))</f>
        <v>5694.2892864620499</v>
      </c>
      <c r="X63" s="14">
        <f>W63-L63*(V63)</f>
        <v>4304.6445385212655</v>
      </c>
      <c r="Y63" s="12">
        <v>10</v>
      </c>
      <c r="Z63" s="73">
        <f>IF(INDEX('Res Measure Mapping'!$U:$U,MATCH($D63,'Res Measure Mapping'!$B:$B,0))="N/A",Y63,INDEX('Res Measure Mapping'!$U:$U,MATCH($D63,'Res Measure Mapping'!$B:$B,0)))</f>
        <v>15</v>
      </c>
      <c r="AA63" s="12">
        <f>Z63</f>
        <v>15</v>
      </c>
      <c r="AB63" s="12">
        <f>IF($B$2="Original",PV($F$96,$Y63,-$R63),PV($F$96,$AA63,-$R63))</f>
        <v>29255.678904016509</v>
      </c>
      <c r="AC63" s="12">
        <f>IF($B$2="Original",PV($F$96,$Y63,-$R63),PV($F$96,$AA63,-$R63))</f>
        <v>29255.678904016509</v>
      </c>
      <c r="AD63" s="15">
        <f>(R63/$R$92)*$AD$92</f>
        <v>7596.1128042259033</v>
      </c>
      <c r="AE63" s="13">
        <v>10</v>
      </c>
      <c r="AF63" s="77">
        <f>ROUND(IF(INDEX('Res Measure Mapping'!$V:$V,MATCH($D63,'Res Measure Mapping'!$B:$B,0))="N/A",AE63,INDEX('Res Measure Mapping'!$V:$V,MATCH($D63,'Res Measure Mapping'!$B:$B,0))),0)</f>
        <v>25</v>
      </c>
      <c r="AG63" s="73" t="str">
        <f>INDEX('Res Measure Mapping'!$S:$S,MATCH($D63,'Res Measure Mapping'!$B:$B,0))</f>
        <v>household</v>
      </c>
      <c r="AH63" s="13">
        <f>AF63</f>
        <v>25</v>
      </c>
      <c r="AI63" s="13">
        <f>IF($B$2="Original",IF(ISNUMBER(AE63),AE63*L63,""),IF(ISNUMBER(AH63),AH63*L63,""))</f>
        <v>2212.577434901325</v>
      </c>
      <c r="AJ63" s="16">
        <f>IF(ISERROR(AI63/AC63),0,AI63/AC63)</f>
        <v>7.5628989577047903E-2</v>
      </c>
      <c r="AK63" s="16">
        <f>IF(ISERROR((AD63+AI63)/AC63),0,(AD63+AI63)/AC63)</f>
        <v>0.3352747434543587</v>
      </c>
      <c r="AL63" s="82">
        <f>IF($B$2="Original",IF($AI63=0,"-",(VLOOKUP(Y63,'APP 2885'!$B$10:$G$54,6)*$R63)/($AI63+$AD63)),IF($AI63=0,"-",(VLOOKUP(AA63,'APP 2885'!$B$10:$G$54,6)*$R63)/($AI63+$AD63)))</f>
        <v>3.9119389796145723</v>
      </c>
      <c r="AM63" s="17">
        <f>IF(ISERROR(RU63/AB63),0,X63/AB63)</f>
        <v>0.14713876757549049</v>
      </c>
      <c r="AN63" s="18">
        <f>IF(ISERROR(X63/AB63),0,(X63+AD63)/AB63)</f>
        <v>0.40678452145280125</v>
      </c>
      <c r="AO63" s="108">
        <f>IF($B$2="Original",IF($AI63=0,"-",(VLOOKUP(Y63,'APP 2885'!$B$10:$G$54,4)*$R63)/($X63+$AD63)),IF($AI63=0,"-",(VLOOKUP(AA63,'APP 2885'!$B$10:$G$54,4)*$R63)/($X63+$AD63)))</f>
        <v>2.9311348987222776</v>
      </c>
    </row>
    <row r="64" spans="3:41" ht="20.100000000000001" customHeight="1" thickBot="1" x14ac:dyDescent="0.3">
      <c r="C64" s="119">
        <v>18</v>
      </c>
      <c r="D64" s="55" t="str">
        <f>E64&amp;"_"&amp;F64&amp;"_"&amp;G64</f>
        <v>Programmable Thermostat_Zone 2_Programmable</v>
      </c>
      <c r="E64" s="3" t="s">
        <v>57</v>
      </c>
      <c r="F64" s="3" t="s">
        <v>23</v>
      </c>
      <c r="G64" s="3" t="s">
        <v>58</v>
      </c>
      <c r="H64" s="3" t="s">
        <v>331</v>
      </c>
      <c r="I64" s="4">
        <v>286</v>
      </c>
      <c r="J64" s="4">
        <v>289</v>
      </c>
      <c r="K64" s="4"/>
      <c r="L64" s="4">
        <f>(R64/Q64)</f>
        <v>43.733072241219823</v>
      </c>
      <c r="M64" s="131">
        <v>2.9298793769302919E-3</v>
      </c>
      <c r="N64" s="70">
        <v>17</v>
      </c>
      <c r="O64" s="70">
        <f>IF(INDEX('Res Measure Mapping'!$R:$R,MATCH($D64,'Res Measure Mapping'!$B:$B,0))="N/A",N64,INDEX('Res Measure Mapping'!$R:$R,MATCH($D64,'Res Measure Mapping'!$B:$B,0)))</f>
        <v>28.754950259934116</v>
      </c>
      <c r="P64" s="70" t="str">
        <f>INDEX('Res Measure Mapping'!$S:$S,MATCH($D64,'Res Measure Mapping'!$B:$B,0))</f>
        <v>household</v>
      </c>
      <c r="Q64" s="70">
        <f>O64</f>
        <v>28.754950259934116</v>
      </c>
      <c r="R64" s="135">
        <f>M64*$R$92</f>
        <v>1257.5423170103813</v>
      </c>
      <c r="S64" s="5">
        <v>16</v>
      </c>
      <c r="T64" s="76">
        <f>IF(INDEX('Res Measure Mapping'!$T:$T,MATCH($D64,'Res Measure Mapping'!$B:$B,0))="N/A",S64,INDEX('Res Measure Mapping'!$T:$T,MATCH($D64,'Res Measure Mapping'!$B:$B,0)))</f>
        <v>64.34</v>
      </c>
      <c r="U64" s="5">
        <f>T64</f>
        <v>64.34</v>
      </c>
      <c r="V64" s="5">
        <f>IF($B$2="Original",PV($F$96,$Y64,(-0.05*0.95*$N64)),PV($F$96,$AA64,(-0.05*0.95*$Q64)))</f>
        <v>15.843638561140892</v>
      </c>
      <c r="W64" s="5">
        <f>IF($B$2="Original",IF(ISNUMBER(S64),S64*L64,""),IF(ISNUMBER(U64),U64*L64,""))</f>
        <v>2813.7858680000836</v>
      </c>
      <c r="X64" s="6">
        <f>W64-L64*(V64)</f>
        <v>2120.8948782419329</v>
      </c>
      <c r="Y64" s="4">
        <v>10</v>
      </c>
      <c r="Z64" s="70">
        <f>IF(INDEX('Res Measure Mapping'!$U:$U,MATCH($D64,'Res Measure Mapping'!$B:$B,0))="N/A",Y64,INDEX('Res Measure Mapping'!$U:$U,MATCH($D64,'Res Measure Mapping'!$B:$B,0)))</f>
        <v>15</v>
      </c>
      <c r="AA64" s="4">
        <f>Z64</f>
        <v>15</v>
      </c>
      <c r="AB64" s="4">
        <f>IF($B$2="Original",PV($F$96,$Y64,-$R64),PV($F$96,$AA64,-$R64))</f>
        <v>14587.17873175054</v>
      </c>
      <c r="AC64" s="4">
        <f>IF($B$2="Original",PV($F$96,$Y64,-$R64),PV($F$96,$AA64,-$R64))</f>
        <v>14587.17873175054</v>
      </c>
      <c r="AD64" s="7">
        <f>(R64/$R$92)*$AD$92</f>
        <v>3787.4990187484423</v>
      </c>
      <c r="AE64" s="5">
        <v>25</v>
      </c>
      <c r="AF64" s="76">
        <f>ROUND(IF(INDEX('Res Measure Mapping'!$V:$V,MATCH($D64,'Res Measure Mapping'!$B:$B,0))="N/A",AE64,INDEX('Res Measure Mapping'!$V:$V,MATCH($D64,'Res Measure Mapping'!$B:$B,0))),0)</f>
        <v>25</v>
      </c>
      <c r="AG64" s="70" t="str">
        <f>INDEX('Res Measure Mapping'!$S:$S,MATCH($D64,'Res Measure Mapping'!$B:$B,0))</f>
        <v>household</v>
      </c>
      <c r="AH64" s="5">
        <f>AF64</f>
        <v>25</v>
      </c>
      <c r="AI64" s="5">
        <f>IF($B$2="Original",IF(ISNUMBER(AE64),AE64*L64,""),IF(ISNUMBER(AH64),AH64*L64,""))</f>
        <v>1093.3268060304956</v>
      </c>
      <c r="AJ64" s="8">
        <f>IF(ISERROR(AI64/AC64),0,AI64/AC64)</f>
        <v>7.4951217513414978E-2</v>
      </c>
      <c r="AK64" s="8">
        <f>IF(ISERROR((AD64+AI64)/AC64),0,(AD64+AI64)/AC64)</f>
        <v>0.33459697139072569</v>
      </c>
      <c r="AL64" s="81">
        <f>IF($B$2="Original",IF($AI64=0,"-",(VLOOKUP(Y64,'APP 2885'!$B$10:$G$54,6)*$R64)/($AI64+$AD64)),IF($AI64=0,"-",(VLOOKUP(AA64,'APP 2885'!$B$10:$G$54,6)*$R64)/($AI64+$AD64)))</f>
        <v>3.9198631486349886</v>
      </c>
      <c r="AM64" s="9">
        <f>IF(ISERROR(RU64/AB64),0,X64/AB64)</f>
        <v>0.1453944533925248</v>
      </c>
      <c r="AN64" s="10">
        <f>IF(ISERROR(X64/AB64),0,(X64+AD64)/AB64)</f>
        <v>0.40504020726983553</v>
      </c>
      <c r="AO64" s="107">
        <f>IF($B$2="Original",IF($AI64=0,"-",(VLOOKUP(Y64,'APP 2885'!$B$10:$G$54,4)*$R64)/($X64+$AD64)),IF($AI64=0,"-",(VLOOKUP(AA64,'APP 2885'!$B$10:$G$54,4)*$R64)/($X64+$AD64)))</f>
        <v>2.9437578928948551</v>
      </c>
    </row>
    <row r="65" spans="3:41" ht="20.100000000000001" customHeight="1" thickBot="1" x14ac:dyDescent="0.3">
      <c r="C65" s="119">
        <v>18</v>
      </c>
      <c r="D65" s="55" t="str">
        <f>E65&amp;"_"&amp;F65&amp;"_"&amp;G65</f>
        <v>Programmable Thermostat_Zone 2_Programmable</v>
      </c>
      <c r="E65" s="11" t="s">
        <v>57</v>
      </c>
      <c r="F65" s="11" t="s">
        <v>23</v>
      </c>
      <c r="G65" s="11" t="s">
        <v>58</v>
      </c>
      <c r="H65" s="11" t="s">
        <v>331</v>
      </c>
      <c r="I65" s="12">
        <v>4</v>
      </c>
      <c r="J65" s="12">
        <v>4</v>
      </c>
      <c r="K65" s="12"/>
      <c r="L65" s="12">
        <f>(R65/Q65)</f>
        <v>43.733072241219823</v>
      </c>
      <c r="M65" s="132">
        <v>2.9298793769302919E-3</v>
      </c>
      <c r="N65" s="71">
        <v>17</v>
      </c>
      <c r="O65" s="73">
        <f>IF(INDEX('Res Measure Mapping'!$R:$R,MATCH($D65,'Res Measure Mapping'!$B:$B,0))="N/A",N65,INDEX('Res Measure Mapping'!$R:$R,MATCH($D65,'Res Measure Mapping'!$B:$B,0)))</f>
        <v>28.754950259934116</v>
      </c>
      <c r="P65" s="73" t="str">
        <f>INDEX('Res Measure Mapping'!$S:$S,MATCH($D65,'Res Measure Mapping'!$B:$B,0))</f>
        <v>household</v>
      </c>
      <c r="Q65" s="71">
        <f>O65</f>
        <v>28.754950259934116</v>
      </c>
      <c r="R65" s="136">
        <f>M65*$R$92</f>
        <v>1257.5423170103813</v>
      </c>
      <c r="S65" s="13">
        <v>16</v>
      </c>
      <c r="T65" s="77">
        <f>IF(INDEX('Res Measure Mapping'!$T:$T,MATCH($D65,'Res Measure Mapping'!$B:$B,0))="N/A",S65,INDEX('Res Measure Mapping'!$T:$T,MATCH($D65,'Res Measure Mapping'!$B:$B,0)))</f>
        <v>64.34</v>
      </c>
      <c r="U65" s="13">
        <f>T65</f>
        <v>64.34</v>
      </c>
      <c r="V65" s="13">
        <f>IF($B$2="Original",PV($F$96,$Y65,(-0.05*0.95*$N65)),PV($F$96,$AA65,(-0.05*0.95*$Q65)))</f>
        <v>15.843638561140892</v>
      </c>
      <c r="W65" s="13">
        <f>IF($B$2="Original",IF(ISNUMBER(S65),S65*L65,""),IF(ISNUMBER(U65),U65*L65,""))</f>
        <v>2813.7858680000836</v>
      </c>
      <c r="X65" s="14">
        <f>W65-L65*(V65)</f>
        <v>2120.8948782419329</v>
      </c>
      <c r="Y65" s="12">
        <v>10</v>
      </c>
      <c r="Z65" s="73">
        <f>IF(INDEX('Res Measure Mapping'!$U:$U,MATCH($D65,'Res Measure Mapping'!$B:$B,0))="N/A",Y65,INDEX('Res Measure Mapping'!$U:$U,MATCH($D65,'Res Measure Mapping'!$B:$B,0)))</f>
        <v>15</v>
      </c>
      <c r="AA65" s="12">
        <f>Z65</f>
        <v>15</v>
      </c>
      <c r="AB65" s="12">
        <f>IF($B$2="Original",PV($F$96,$Y65,-$R65),PV($F$96,$AA65,-$R65))</f>
        <v>14587.17873175054</v>
      </c>
      <c r="AC65" s="12">
        <f>IF($B$2="Original",PV($F$96,$Y65,-$R65),PV($F$96,$AA65,-$R65))</f>
        <v>14587.17873175054</v>
      </c>
      <c r="AD65" s="15">
        <f>(R65/$R$92)*$AD$92</f>
        <v>3787.4990187484423</v>
      </c>
      <c r="AE65" s="13">
        <v>10</v>
      </c>
      <c r="AF65" s="77">
        <f>ROUND(IF(INDEX('Res Measure Mapping'!$V:$V,MATCH($D65,'Res Measure Mapping'!$B:$B,0))="N/A",AE65,INDEX('Res Measure Mapping'!$V:$V,MATCH($D65,'Res Measure Mapping'!$B:$B,0))),0)</f>
        <v>25</v>
      </c>
      <c r="AG65" s="73" t="str">
        <f>INDEX('Res Measure Mapping'!$S:$S,MATCH($D65,'Res Measure Mapping'!$B:$B,0))</f>
        <v>household</v>
      </c>
      <c r="AH65" s="13">
        <f>AF65</f>
        <v>25</v>
      </c>
      <c r="AI65" s="13">
        <f>IF($B$2="Original",IF(ISNUMBER(AE65),AE65*L65,""),IF(ISNUMBER(AH65),AH65*L65,""))</f>
        <v>1093.3268060304956</v>
      </c>
      <c r="AJ65" s="16">
        <f>IF(ISERROR(AI65/AC65),0,AI65/AC65)</f>
        <v>7.4951217513414978E-2</v>
      </c>
      <c r="AK65" s="16">
        <f>IF(ISERROR((AD65+AI65)/AC65),0,(AD65+AI65)/AC65)</f>
        <v>0.33459697139072569</v>
      </c>
      <c r="AL65" s="82">
        <f>IF($B$2="Original",IF($AI65=0,"-",(VLOOKUP(Y65,'APP 2885'!$B$10:$G$54,6)*$R65)/($AI65+$AD65)),IF($AI65=0,"-",(VLOOKUP(AA65,'APP 2885'!$B$10:$G$54,6)*$R65)/($AI65+$AD65)))</f>
        <v>3.9198631486349886</v>
      </c>
      <c r="AM65" s="17">
        <f>IF(ISERROR(RU65/AB65),0,X65/AB65)</f>
        <v>0.1453944533925248</v>
      </c>
      <c r="AN65" s="18">
        <f>IF(ISERROR(X65/AB65),0,(X65+AD65)/AB65)</f>
        <v>0.40504020726983553</v>
      </c>
      <c r="AO65" s="108">
        <f>IF($B$2="Original",IF($AI65=0,"-",(VLOOKUP(Y65,'APP 2885'!$B$10:$G$54,4)*$R65)/($X65+$AD65)),IF($AI65=0,"-",(VLOOKUP(AA65,'APP 2885'!$B$10:$G$54,4)*$R65)/($X65+$AD65)))</f>
        <v>2.9437578928948551</v>
      </c>
    </row>
    <row r="66" spans="3:41" ht="20.100000000000001" customHeight="1" thickBot="1" x14ac:dyDescent="0.3">
      <c r="C66" s="119">
        <v>18</v>
      </c>
      <c r="D66" s="55" t="str">
        <f>E66&amp;"_"&amp;F66&amp;"_"&amp;G66</f>
        <v>Programmable Thermostat_Zone 3_Programmable</v>
      </c>
      <c r="E66" s="3" t="s">
        <v>57</v>
      </c>
      <c r="F66" s="3" t="s">
        <v>24</v>
      </c>
      <c r="G66" s="3" t="s">
        <v>58</v>
      </c>
      <c r="H66" s="3" t="s">
        <v>331</v>
      </c>
      <c r="I66" s="4">
        <v>712</v>
      </c>
      <c r="J66" s="4">
        <v>730</v>
      </c>
      <c r="K66" s="4"/>
      <c r="L66" s="4">
        <f>(R66/Q66)</f>
        <v>70.948252787927601</v>
      </c>
      <c r="M66" s="131">
        <v>4.1827403316380381E-3</v>
      </c>
      <c r="N66" s="70">
        <v>20</v>
      </c>
      <c r="O66" s="70">
        <f>IF(INDEX('Res Measure Mapping'!$R:$R,MATCH($D66,'Res Measure Mapping'!$B:$B,0))="N/A",N66,INDEX('Res Measure Mapping'!$R:$R,MATCH($D66,'Res Measure Mapping'!$B:$B,0)))</f>
        <v>25.304168255272938</v>
      </c>
      <c r="P66" s="70" t="str">
        <f>INDEX('Res Measure Mapping'!$S:$S,MATCH($D66,'Res Measure Mapping'!$B:$B,0))</f>
        <v>household</v>
      </c>
      <c r="Q66" s="70">
        <f>O66</f>
        <v>25.304168255272938</v>
      </c>
      <c r="R66" s="135">
        <f>M66*$R$92</f>
        <v>1795.2865259633572</v>
      </c>
      <c r="S66" s="5">
        <v>16</v>
      </c>
      <c r="T66" s="76">
        <f>IF(INDEX('Res Measure Mapping'!$T:$T,MATCH($D66,'Res Measure Mapping'!$B:$B,0))="N/A",S66,INDEX('Res Measure Mapping'!$T:$T,MATCH($D66,'Res Measure Mapping'!$B:$B,0)))</f>
        <v>64.34</v>
      </c>
      <c r="U66" s="5">
        <f>T66</f>
        <v>64.34</v>
      </c>
      <c r="V66" s="5">
        <f>IF($B$2="Original",PV($F$96,$Y66,(-0.05*0.95*$N66)),PV($F$96,$AA66,(-0.05*0.95*$Q66)))</f>
        <v>13.9422983626388</v>
      </c>
      <c r="W66" s="5">
        <f>IF($B$2="Original",IF(ISNUMBER(S66),S66*L66,""),IF(ISNUMBER(U66),U66*L66,""))</f>
        <v>4564.8105843752619</v>
      </c>
      <c r="X66" s="6">
        <f>W66-L66*(V66)</f>
        <v>3575.6288756980553</v>
      </c>
      <c r="Y66" s="4">
        <v>10</v>
      </c>
      <c r="Z66" s="70">
        <f>IF(INDEX('Res Measure Mapping'!$U:$U,MATCH($D66,'Res Measure Mapping'!$B:$B,0))="N/A",Y66,INDEX('Res Measure Mapping'!$U:$U,MATCH($D66,'Res Measure Mapping'!$B:$B,0)))</f>
        <v>15</v>
      </c>
      <c r="AA66" s="4">
        <f>Z66</f>
        <v>15</v>
      </c>
      <c r="AB66" s="4">
        <f>IF($B$2="Original",PV($F$96,$Y66,-$R66),PV($F$96,$AA66,-$R66))</f>
        <v>20824.878077414876</v>
      </c>
      <c r="AC66" s="4">
        <f>IF($B$2="Original",PV($F$96,$Y66,-$R66),PV($F$96,$AA66,-$R66))</f>
        <v>20824.878077414876</v>
      </c>
      <c r="AD66" s="7">
        <f>(R66/$R$92)*$AD$92</f>
        <v>5407.0911678134662</v>
      </c>
      <c r="AE66" s="5">
        <v>25</v>
      </c>
      <c r="AF66" s="76">
        <f>ROUND(IF(INDEX('Res Measure Mapping'!$V:$V,MATCH($D66,'Res Measure Mapping'!$B:$B,0))="N/A",AE66,INDEX('Res Measure Mapping'!$V:$V,MATCH($D66,'Res Measure Mapping'!$B:$B,0))),0)</f>
        <v>25</v>
      </c>
      <c r="AG66" s="70" t="str">
        <f>INDEX('Res Measure Mapping'!$S:$S,MATCH($D66,'Res Measure Mapping'!$B:$B,0))</f>
        <v>household</v>
      </c>
      <c r="AH66" s="5">
        <f>AF66</f>
        <v>25</v>
      </c>
      <c r="AI66" s="5">
        <f>IF($B$2="Original",IF(ISNUMBER(AE66),AE66*L66,""),IF(ISNUMBER(AH66),AH66*L66,""))</f>
        <v>1773.7063196981901</v>
      </c>
      <c r="AJ66" s="8">
        <f>IF(ISERROR(AI66/AC66),0,AI66/AC66)</f>
        <v>8.5172470787323401E-2</v>
      </c>
      <c r="AK66" s="8">
        <f>IF(ISERROR((AD66+AI66)/AC66),0,(AD66+AI66)/AC66)</f>
        <v>0.34481822466463408</v>
      </c>
      <c r="AL66" s="81">
        <f>IF($B$2="Original",IF($AI66=0,"-",(VLOOKUP(Y66,'APP 2885'!$B$10:$G$54,6)*$R66)/($AI66+$AD66)),IF($AI66=0,"-",(VLOOKUP(AA66,'APP 2885'!$B$10:$G$54,6)*$R66)/($AI66+$AD66)))</f>
        <v>3.8036688434174333</v>
      </c>
      <c r="AM66" s="9">
        <f>IF(ISERROR(RU66/AB66),0,X66/AB66)</f>
        <v>0.1716998708182555</v>
      </c>
      <c r="AN66" s="10">
        <f>IF(ISERROR(X66/AB66),0,(X66+AD66)/AB66)</f>
        <v>0.4313456246955662</v>
      </c>
      <c r="AO66" s="107">
        <f>IF($B$2="Original",IF($AI66=0,"-",(VLOOKUP(Y66,'APP 2885'!$B$10:$G$54,4)*$R66)/($X66+$AD66)),IF($AI66=0,"-",(VLOOKUP(AA66,'APP 2885'!$B$10:$G$54,4)*$R66)/($X66+$AD66)))</f>
        <v>2.764234151979339</v>
      </c>
    </row>
    <row r="67" spans="3:41" ht="20.100000000000001" customHeight="1" thickBot="1" x14ac:dyDescent="0.3">
      <c r="C67" s="119">
        <v>18</v>
      </c>
      <c r="D67" s="55" t="str">
        <f>E67&amp;"_"&amp;F67&amp;"_"&amp;G67</f>
        <v>Programmable Thermostat_Zone 3_Programmable</v>
      </c>
      <c r="E67" s="11" t="s">
        <v>57</v>
      </c>
      <c r="F67" s="11" t="s">
        <v>24</v>
      </c>
      <c r="G67" s="11" t="s">
        <v>58</v>
      </c>
      <c r="H67" s="11" t="s">
        <v>331</v>
      </c>
      <c r="I67" s="12">
        <v>16</v>
      </c>
      <c r="J67" s="12">
        <v>16</v>
      </c>
      <c r="K67" s="12"/>
      <c r="L67" s="12">
        <f>(R67/Q67)</f>
        <v>70.948252787927601</v>
      </c>
      <c r="M67" s="132">
        <v>4.1827403316380381E-3</v>
      </c>
      <c r="N67" s="71">
        <v>20</v>
      </c>
      <c r="O67" s="73">
        <f>IF(INDEX('Res Measure Mapping'!$R:$R,MATCH($D67,'Res Measure Mapping'!$B:$B,0))="N/A",N67,INDEX('Res Measure Mapping'!$R:$R,MATCH($D67,'Res Measure Mapping'!$B:$B,0)))</f>
        <v>25.304168255272938</v>
      </c>
      <c r="P67" s="73" t="str">
        <f>INDEX('Res Measure Mapping'!$S:$S,MATCH($D67,'Res Measure Mapping'!$B:$B,0))</f>
        <v>household</v>
      </c>
      <c r="Q67" s="71">
        <f>O67</f>
        <v>25.304168255272938</v>
      </c>
      <c r="R67" s="136">
        <f>M67*$R$92</f>
        <v>1795.2865259633572</v>
      </c>
      <c r="S67" s="13">
        <v>16</v>
      </c>
      <c r="T67" s="77">
        <f>IF(INDEX('Res Measure Mapping'!$T:$T,MATCH($D67,'Res Measure Mapping'!$B:$B,0))="N/A",S67,INDEX('Res Measure Mapping'!$T:$T,MATCH($D67,'Res Measure Mapping'!$B:$B,0)))</f>
        <v>64.34</v>
      </c>
      <c r="U67" s="13">
        <f>T67</f>
        <v>64.34</v>
      </c>
      <c r="V67" s="13">
        <f>IF($B$2="Original",PV($F$96,$Y67,(-0.05*0.95*$N67)),PV($F$96,$AA67,(-0.05*0.95*$Q67)))</f>
        <v>13.9422983626388</v>
      </c>
      <c r="W67" s="13">
        <f>IF($B$2="Original",IF(ISNUMBER(S67),S67*L67,""),IF(ISNUMBER(U67),U67*L67,""))</f>
        <v>4564.8105843752619</v>
      </c>
      <c r="X67" s="14">
        <f>W67-L67*(V67)</f>
        <v>3575.6288756980553</v>
      </c>
      <c r="Y67" s="12">
        <v>10</v>
      </c>
      <c r="Z67" s="73">
        <f>IF(INDEX('Res Measure Mapping'!$U:$U,MATCH($D67,'Res Measure Mapping'!$B:$B,0))="N/A",Y67,INDEX('Res Measure Mapping'!$U:$U,MATCH($D67,'Res Measure Mapping'!$B:$B,0)))</f>
        <v>15</v>
      </c>
      <c r="AA67" s="12">
        <f>Z67</f>
        <v>15</v>
      </c>
      <c r="AB67" s="12">
        <f>IF($B$2="Original",PV($F$96,$Y67,-$R67),PV($F$96,$AA67,-$R67))</f>
        <v>20824.878077414876</v>
      </c>
      <c r="AC67" s="12">
        <f>IF($B$2="Original",PV($F$96,$Y67,-$R67),PV($F$96,$AA67,-$R67))</f>
        <v>20824.878077414876</v>
      </c>
      <c r="AD67" s="15">
        <f>(R67/$R$92)*$AD$92</f>
        <v>5407.0911678134662</v>
      </c>
      <c r="AE67" s="13">
        <v>10</v>
      </c>
      <c r="AF67" s="77">
        <f>ROUND(IF(INDEX('Res Measure Mapping'!$V:$V,MATCH($D67,'Res Measure Mapping'!$B:$B,0))="N/A",AE67,INDEX('Res Measure Mapping'!$V:$V,MATCH($D67,'Res Measure Mapping'!$B:$B,0))),0)</f>
        <v>25</v>
      </c>
      <c r="AG67" s="73" t="str">
        <f>INDEX('Res Measure Mapping'!$S:$S,MATCH($D67,'Res Measure Mapping'!$B:$B,0))</f>
        <v>household</v>
      </c>
      <c r="AH67" s="13">
        <f>AF67</f>
        <v>25</v>
      </c>
      <c r="AI67" s="13">
        <f>IF($B$2="Original",IF(ISNUMBER(AE67),AE67*L67,""),IF(ISNUMBER(AH67),AH67*L67,""))</f>
        <v>1773.7063196981901</v>
      </c>
      <c r="AJ67" s="16">
        <f>IF(ISERROR(AI67/AC67),0,AI67/AC67)</f>
        <v>8.5172470787323401E-2</v>
      </c>
      <c r="AK67" s="16">
        <f>IF(ISERROR((AD67+AI67)/AC67),0,(AD67+AI67)/AC67)</f>
        <v>0.34481822466463408</v>
      </c>
      <c r="AL67" s="82">
        <f>IF($B$2="Original",IF($AI67=0,"-",(VLOOKUP(Y67,'APP 2885'!$B$10:$G$54,6)*$R67)/($AI67+$AD67)),IF($AI67=0,"-",(VLOOKUP(AA67,'APP 2885'!$B$10:$G$54,6)*$R67)/($AI67+$AD67)))</f>
        <v>3.8036688434174333</v>
      </c>
      <c r="AM67" s="17">
        <f>IF(ISERROR(RU67/AB67),0,X67/AB67)</f>
        <v>0.1716998708182555</v>
      </c>
      <c r="AN67" s="18">
        <f>IF(ISERROR(X67/AB67),0,(X67+AD67)/AB67)</f>
        <v>0.4313456246955662</v>
      </c>
      <c r="AO67" s="108">
        <f>IF($B$2="Original",IF($AI67=0,"-",(VLOOKUP(Y67,'APP 2885'!$B$10:$G$54,4)*$R67)/($X67+$AD67)),IF($AI67=0,"-",(VLOOKUP(AA67,'APP 2885'!$B$10:$G$54,4)*$R67)/($X67+$AD67)))</f>
        <v>2.764234151979339</v>
      </c>
    </row>
    <row r="68" spans="3:41" ht="20.100000000000001" customHeight="1" thickBot="1" x14ac:dyDescent="0.3">
      <c r="C68" s="119">
        <v>5</v>
      </c>
      <c r="D68" s="55" t="str">
        <f>E68&amp;"_"&amp;F68&amp;"_"&amp;G68</f>
        <v>Wall Insulation_Zone 1_Post R-11+, or to fill cavity</v>
      </c>
      <c r="E68" s="3" t="s">
        <v>59</v>
      </c>
      <c r="F68" s="3" t="s">
        <v>21</v>
      </c>
      <c r="G68" s="3" t="s">
        <v>60</v>
      </c>
      <c r="H68" s="3" t="str">
        <f>G68</f>
        <v>Post R-11+, or to fill cavity</v>
      </c>
      <c r="I68" s="4">
        <v>62</v>
      </c>
      <c r="J68" s="4">
        <v>69</v>
      </c>
      <c r="K68" s="4">
        <v>46468</v>
      </c>
      <c r="L68" s="4">
        <f>(R68/Q68)</f>
        <v>55299.196467671012</v>
      </c>
      <c r="M68" s="131">
        <f>(K68*N68)/383018</f>
        <v>8.6137674991775826E-3</v>
      </c>
      <c r="N68" s="70">
        <v>7.0999999999999994E-2</v>
      </c>
      <c r="O68" s="70">
        <f>IF(INDEX('Res Measure Mapping'!$R:$R,MATCH($D68,'Res Measure Mapping'!$B:$B,0))="N/A",N68,INDEX('Res Measure Mapping'!$R:$R,MATCH($D68,'Res Measure Mapping'!$B:$B,0)))</f>
        <v>6.6857047222845786E-2</v>
      </c>
      <c r="P68" s="70" t="str">
        <f>INDEX('Res Measure Mapping'!$S:$S,MATCH($D68,'Res Measure Mapping'!$B:$B,0))</f>
        <v>sqft wall</v>
      </c>
      <c r="Q68" s="70">
        <f>O68</f>
        <v>6.6857047222845786E-2</v>
      </c>
      <c r="R68" s="135">
        <f>M68*$R$92</f>
        <v>3697.1409896245077</v>
      </c>
      <c r="S68" s="5">
        <v>1.18</v>
      </c>
      <c r="T68" s="76">
        <f>IF(INDEX('Res Measure Mapping'!$T:$T,MATCH($D68,'Res Measure Mapping'!$B:$B,0))="N/A",S68,INDEX('Res Measure Mapping'!$T:$T,MATCH($D68,'Res Measure Mapping'!$B:$B,0)))</f>
        <v>1.7299999999999998</v>
      </c>
      <c r="U68" s="5">
        <f>S68</f>
        <v>1.18</v>
      </c>
      <c r="V68" s="5">
        <f>IF($B$2="Original",PV($F$96,$Y68,(-0.05*0.95*$N68)),PV($F$96,$AA68,(-0.05*0.95*$Q68)))</f>
        <v>7.2657071686466165E-2</v>
      </c>
      <c r="W68" s="5">
        <f>IF($B$2="Original",IF(ISNUMBER(S68),S68*L68,""),IF(ISNUMBER(U68),U68*L68,""))</f>
        <v>65253.051831851793</v>
      </c>
      <c r="X68" s="6">
        <f>W68-L68*(V68)</f>
        <v>61235.174149896244</v>
      </c>
      <c r="Y68" s="4">
        <v>45</v>
      </c>
      <c r="Z68" s="70">
        <f>IF(INDEX('Res Measure Mapping'!$U:$U,MATCH($D68,'Res Measure Mapping'!$B:$B,0))="N/A",Y68,INDEX('Res Measure Mapping'!$U:$U,MATCH($D68,'Res Measure Mapping'!$B:$B,0)))</f>
        <v>45</v>
      </c>
      <c r="AA68" s="4">
        <f>Z68</f>
        <v>45</v>
      </c>
      <c r="AB68" s="4">
        <f>IF($B$2="Original",PV($F$96,$Y68,-$R68),PV($F$96,$AA68,-$R68))</f>
        <v>84586.898567485245</v>
      </c>
      <c r="AC68" s="4">
        <f>IF($B$2="Original",PV($F$96,$Y68,-$R68),PV($F$96,$AA68,-$R68))</f>
        <v>84586.898567485245</v>
      </c>
      <c r="AD68" s="7">
        <f>(R68/$R$92)*$AD$92</f>
        <v>11135.14645269935</v>
      </c>
      <c r="AE68" s="5">
        <v>0.75</v>
      </c>
      <c r="AF68" s="76">
        <f>ROUND(IF(INDEX('Res Measure Mapping'!$V:$V,MATCH($D68,'Res Measure Mapping'!$B:$B,0))="N/A",AE68,INDEX('Res Measure Mapping'!$V:$V,MATCH($D68,'Res Measure Mapping'!$B:$B,0))),0)</f>
        <v>1</v>
      </c>
      <c r="AG68" s="70" t="str">
        <f>INDEX('Res Measure Mapping'!$S:$S,MATCH($D68,'Res Measure Mapping'!$B:$B,0))</f>
        <v>sqft wall</v>
      </c>
      <c r="AH68" s="5">
        <v>1.25</v>
      </c>
      <c r="AI68" s="5">
        <f>IF($B$2="Original",IF(ISNUMBER(AE68),AE68*L68,""),IF(ISNUMBER(AH68),AH68*L68,""))</f>
        <v>69123.99558458876</v>
      </c>
      <c r="AJ68" s="8">
        <f>IF(ISERROR(AI68/AC68),0,AI68/AC68)</f>
        <v>0.81719505922586999</v>
      </c>
      <c r="AK68" s="8">
        <f>IF(ISERROR((AD68+AI68)/AC68),0,(AD68+AI68)/AC68)</f>
        <v>0.9488365621214454</v>
      </c>
      <c r="AL68" s="81">
        <f>IF($B$2="Original",IF($AI68=0,"-",(VLOOKUP(Y68,'APP 2885'!$B$10:$G$54,6)*$R68)/($AI68+$AD68)),IF($AI68=0,"-",(VLOOKUP(AA68,'APP 2885'!$B$10:$G$54,6)*$R68)/($AI68+$AD68)))</f>
        <v>2.8222501228865684</v>
      </c>
      <c r="AM68" s="9">
        <f>IF(ISERROR(RU68/AB68),0,X68/AB68)</f>
        <v>0.72393213590922134</v>
      </c>
      <c r="AN68" s="10">
        <f>IF(ISERROR(X68/AB68),0,(X68+AD68)/AB68)</f>
        <v>0.85557363880479664</v>
      </c>
      <c r="AO68" s="107">
        <f>IF($B$2="Original",IF($AI68=0,"-",(VLOOKUP(Y68,'APP 2885'!$B$10:$G$54,4)*$R68)/($X68+$AD68)),IF($AI68=0,"-",(VLOOKUP(AA68,'APP 2885'!$B$10:$G$54,4)*$R68)/($X68+$AD68)))</f>
        <v>2.8453574437628206</v>
      </c>
    </row>
    <row r="69" spans="3:41" ht="20.100000000000001" customHeight="1" thickBot="1" x14ac:dyDescent="0.3">
      <c r="C69" s="119">
        <v>5</v>
      </c>
      <c r="D69" s="55" t="str">
        <f>E69&amp;"_"&amp;F69&amp;"_"&amp;G69</f>
        <v>Wall Insulation_Zone 2_Post R-11+, or to fill cavity</v>
      </c>
      <c r="E69" s="11" t="s">
        <v>59</v>
      </c>
      <c r="F69" s="11" t="s">
        <v>23</v>
      </c>
      <c r="G69" s="11" t="s">
        <v>60</v>
      </c>
      <c r="H69" s="11" t="str">
        <f>G69</f>
        <v>Post R-11+, or to fill cavity</v>
      </c>
      <c r="I69" s="12">
        <v>8</v>
      </c>
      <c r="J69" s="12">
        <v>11</v>
      </c>
      <c r="K69" s="12">
        <v>7657</v>
      </c>
      <c r="L69" s="12">
        <f>(R69/Q69)</f>
        <v>7514.6127058243574</v>
      </c>
      <c r="M69" s="132">
        <f>(K69*N69)/383018</f>
        <v>1.299429791811351E-3</v>
      </c>
      <c r="N69" s="71">
        <v>6.5000000000000002E-2</v>
      </c>
      <c r="O69" s="73">
        <f>IF(INDEX('Res Measure Mapping'!$R:$R,MATCH($D69,'Res Measure Mapping'!$B:$B,0))="N/A",N69,INDEX('Res Measure Mapping'!$R:$R,MATCH($D69,'Res Measure Mapping'!$B:$B,0)))</f>
        <v>7.4219681182031302E-2</v>
      </c>
      <c r="P69" s="73" t="str">
        <f>INDEX('Res Measure Mapping'!$S:$S,MATCH($D69,'Res Measure Mapping'!$B:$B,0))</f>
        <v>sqft wall</v>
      </c>
      <c r="Q69" s="71">
        <f>O69</f>
        <v>7.4219681182031302E-2</v>
      </c>
      <c r="R69" s="136">
        <f>M69*$R$92</f>
        <v>557.73215923272539</v>
      </c>
      <c r="S69" s="13">
        <v>1.18</v>
      </c>
      <c r="T69" s="77">
        <f>IF(INDEX('Res Measure Mapping'!$T:$T,MATCH($D69,'Res Measure Mapping'!$B:$B,0))="N/A",S69,INDEX('Res Measure Mapping'!$T:$T,MATCH($D69,'Res Measure Mapping'!$B:$B,0)))</f>
        <v>1.7299999999999998</v>
      </c>
      <c r="U69" s="13">
        <f>S69</f>
        <v>1.18</v>
      </c>
      <c r="V69" s="13">
        <f>IF($B$2="Original",PV($F$96,$Y69,(-0.05*0.95*$N69)),PV($F$96,$AA69,(-0.05*0.95*$Q69)))</f>
        <v>8.065843348144168E-2</v>
      </c>
      <c r="W69" s="13">
        <f>IF($B$2="Original",IF(ISNUMBER(S69),S69*L69,""),IF(ISNUMBER(U69),U69*L69,""))</f>
        <v>8867.2429928727415</v>
      </c>
      <c r="X69" s="14">
        <f>W69-L69*(V69)</f>
        <v>8261.1261038012108</v>
      </c>
      <c r="Y69" s="12">
        <v>45</v>
      </c>
      <c r="Z69" s="73">
        <f>IF(INDEX('Res Measure Mapping'!$U:$U,MATCH($D69,'Res Measure Mapping'!$B:$B,0))="N/A",Y69,INDEX('Res Measure Mapping'!$U:$U,MATCH($D69,'Res Measure Mapping'!$B:$B,0)))</f>
        <v>45</v>
      </c>
      <c r="AA69" s="12">
        <f>Z69</f>
        <v>45</v>
      </c>
      <c r="AB69" s="12">
        <f>IF($B$2="Original",PV($F$96,$Y69,-$R69),PV($F$96,$AA69,-$R69))</f>
        <v>12760.355559400639</v>
      </c>
      <c r="AC69" s="12">
        <f>IF($B$2="Original",PV($F$96,$Y69,-$R69),PV($F$96,$AA69,-$R69))</f>
        <v>12760.355559400639</v>
      </c>
      <c r="AD69" s="15">
        <f>(R69/$R$92)*$AD$92</f>
        <v>1679.7923833214106</v>
      </c>
      <c r="AE69" s="13">
        <v>0.75</v>
      </c>
      <c r="AF69" s="77">
        <f>ROUND(IF(INDEX('Res Measure Mapping'!$V:$V,MATCH($D69,'Res Measure Mapping'!$B:$B,0))="N/A",AE69,INDEX('Res Measure Mapping'!$V:$V,MATCH($D69,'Res Measure Mapping'!$B:$B,0))),0)</f>
        <v>1</v>
      </c>
      <c r="AG69" s="73" t="str">
        <f>INDEX('Res Measure Mapping'!$S:$S,MATCH($D69,'Res Measure Mapping'!$B:$B,0))</f>
        <v>sqft wall</v>
      </c>
      <c r="AH69" s="13">
        <v>1.25</v>
      </c>
      <c r="AI69" s="13">
        <f>IF($B$2="Original",IF(ISNUMBER(AE69),AE69*L69,""),IF(ISNUMBER(AH69),AH69*L69,""))</f>
        <v>9393.265882280446</v>
      </c>
      <c r="AJ69" s="16">
        <f>IF(ISERROR(AI69/AC69),0,AI69/AC69)</f>
        <v>0.73612885146921825</v>
      </c>
      <c r="AK69" s="16">
        <f>IF(ISERROR((AD69+AI69)/AC69),0,(AD69+AI69)/AC69)</f>
        <v>0.86777035436479355</v>
      </c>
      <c r="AL69" s="82">
        <f>IF($B$2="Original",IF($AI69=0,"-",(VLOOKUP(Y69,'APP 2885'!$B$10:$G$54,6)*$R69)/($AI69+$AD69)),IF($AI69=0,"-",(VLOOKUP(AA69,'APP 2885'!$B$10:$G$54,6)*$R69)/($AI69+$AD69)))</f>
        <v>3.0859018063675419</v>
      </c>
      <c r="AM69" s="17">
        <f>IF(ISERROR(RU69/AB69),0,X69/AB69)</f>
        <v>0.64740563578694199</v>
      </c>
      <c r="AN69" s="18">
        <f>IF(ISERROR(X69/AB69),0,(X69+AD69)/AB69)</f>
        <v>0.77904713868251729</v>
      </c>
      <c r="AO69" s="108">
        <f>IF($B$2="Original",IF($AI69=0,"-",(VLOOKUP(Y69,'APP 2885'!$B$10:$G$54,4)*$R69)/($X69+$AD69)),IF($AI69=0,"-",(VLOOKUP(AA69,'APP 2885'!$B$10:$G$54,4)*$R69)/($X69+$AD69)))</f>
        <v>3.1248594609787275</v>
      </c>
    </row>
    <row r="70" spans="3:41" ht="20.100000000000001" customHeight="1" thickBot="1" x14ac:dyDescent="0.3">
      <c r="C70" s="119">
        <v>5</v>
      </c>
      <c r="D70" s="55" t="str">
        <f>E70&amp;"_"&amp;F70&amp;"_"&amp;G70</f>
        <v>Wall Insulation_Zone 3_Post R-11+, or to fill cavity</v>
      </c>
      <c r="E70" s="3" t="s">
        <v>59</v>
      </c>
      <c r="F70" s="3" t="s">
        <v>24</v>
      </c>
      <c r="G70" s="3" t="s">
        <v>60</v>
      </c>
      <c r="H70" s="3" t="str">
        <f>G70</f>
        <v>Post R-11+, or to fill cavity</v>
      </c>
      <c r="I70" s="4">
        <v>18</v>
      </c>
      <c r="J70" s="4">
        <v>21</v>
      </c>
      <c r="K70" s="4">
        <v>19114</v>
      </c>
      <c r="L70" s="4">
        <f>(R70/Q70)</f>
        <v>21933.08757535816</v>
      </c>
      <c r="M70" s="131">
        <f>(K70*N70)/383018</f>
        <v>3.7926781508963027E-3</v>
      </c>
      <c r="N70" s="70">
        <v>7.5999999999999998E-2</v>
      </c>
      <c r="O70" s="70">
        <f>IF(INDEX('Res Measure Mapping'!$R:$R,MATCH($D70,'Res Measure Mapping'!$B:$B,0))="N/A",N70,INDEX('Res Measure Mapping'!$R:$R,MATCH($D70,'Res Measure Mapping'!$B:$B,0)))</f>
        <v>7.4219681182031302E-2</v>
      </c>
      <c r="P70" s="70" t="str">
        <f>INDEX('Res Measure Mapping'!$S:$S,MATCH($D70,'Res Measure Mapping'!$B:$B,0))</f>
        <v>sqft wall</v>
      </c>
      <c r="Q70" s="70">
        <f>O70</f>
        <v>7.4219681182031302E-2</v>
      </c>
      <c r="R70" s="135">
        <f>M70*$R$92</f>
        <v>1627.8667671806547</v>
      </c>
      <c r="S70" s="5">
        <v>1.18</v>
      </c>
      <c r="T70" s="76">
        <f>IF(INDEX('Res Measure Mapping'!$T:$T,MATCH($D70,'Res Measure Mapping'!$B:$B,0))="N/A",S70,INDEX('Res Measure Mapping'!$T:$T,MATCH($D70,'Res Measure Mapping'!$B:$B,0)))</f>
        <v>1.7299999999999998</v>
      </c>
      <c r="U70" s="5">
        <f>S70</f>
        <v>1.18</v>
      </c>
      <c r="V70" s="5">
        <f>IF($B$2="Original",PV($F$96,$Y70,(-0.05*0.95*$N70)),PV($F$96,$AA70,(-0.05*0.95*$Q70)))</f>
        <v>8.065843348144168E-2</v>
      </c>
      <c r="W70" s="5">
        <f>IF($B$2="Original",IF(ISNUMBER(S70),S70*L70,""),IF(ISNUMBER(U70),U70*L70,""))</f>
        <v>25881.043338922627</v>
      </c>
      <c r="X70" s="6">
        <f>W70-L70*(V70)</f>
        <v>24111.954853682968</v>
      </c>
      <c r="Y70" s="4">
        <v>45</v>
      </c>
      <c r="Z70" s="70">
        <f>IF(INDEX('Res Measure Mapping'!$U:$U,MATCH($D70,'Res Measure Mapping'!$B:$B,0))="N/A",Y70,INDEX('Res Measure Mapping'!$U:$U,MATCH($D70,'Res Measure Mapping'!$B:$B,0)))</f>
        <v>45</v>
      </c>
      <c r="AA70" s="4">
        <f>Z70</f>
        <v>45</v>
      </c>
      <c r="AB70" s="4">
        <f>IF($B$2="Original",PV($F$96,$Y70,-$R70),PV($F$96,$AA70,-$R70))</f>
        <v>37243.968110308655</v>
      </c>
      <c r="AC70" s="4">
        <f>IF($B$2="Original",PV($F$96,$Y70,-$R70),PV($F$96,$AA70,-$R70))</f>
        <v>37243.968110308655</v>
      </c>
      <c r="AD70" s="7">
        <f>(R70/$R$92)*$AD$92</f>
        <v>4902.8519358359135</v>
      </c>
      <c r="AE70" s="5">
        <v>0.75</v>
      </c>
      <c r="AF70" s="76">
        <f>ROUND(IF(INDEX('Res Measure Mapping'!$V:$V,MATCH($D70,'Res Measure Mapping'!$B:$B,0))="N/A",AE70,INDEX('Res Measure Mapping'!$V:$V,MATCH($D70,'Res Measure Mapping'!$B:$B,0))),0)</f>
        <v>1</v>
      </c>
      <c r="AG70" s="70" t="str">
        <f>INDEX('Res Measure Mapping'!$S:$S,MATCH($D70,'Res Measure Mapping'!$B:$B,0))</f>
        <v>sqft wall</v>
      </c>
      <c r="AH70" s="5">
        <v>1.25</v>
      </c>
      <c r="AI70" s="5">
        <f>IF($B$2="Original",IF(ISNUMBER(AE70),AE70*L70,""),IF(ISNUMBER(AH70),AH70*L70,""))</f>
        <v>27416.359469197701</v>
      </c>
      <c r="AJ70" s="8">
        <f>IF(ISERROR(AI70/AC70),0,AI70/AC70)</f>
        <v>0.73612885146921825</v>
      </c>
      <c r="AK70" s="8">
        <f>IF(ISERROR((AD70+AI70)/AC70),0,(AD70+AI70)/AC70)</f>
        <v>0.86777035436479366</v>
      </c>
      <c r="AL70" s="81">
        <f>IF($B$2="Original",IF($AI70=0,"-",(VLOOKUP(Y70,'APP 2885'!$B$10:$G$54,6)*$R70)/($AI70+$AD70)),IF($AI70=0,"-",(VLOOKUP(AA70,'APP 2885'!$B$10:$G$54,6)*$R70)/($AI70+$AD70)))</f>
        <v>3.0859018063675414</v>
      </c>
      <c r="AM70" s="9">
        <f>IF(ISERROR(RU70/AB70),0,X70/AB70)</f>
        <v>0.64740563578694199</v>
      </c>
      <c r="AN70" s="10">
        <f>IF(ISERROR(X70/AB70),0,(X70+AD70)/AB70)</f>
        <v>0.77904713868251729</v>
      </c>
      <c r="AO70" s="107">
        <f>IF($B$2="Original",IF($AI70=0,"-",(VLOOKUP(Y70,'APP 2885'!$B$10:$G$54,4)*$R70)/($X70+$AD70)),IF($AI70=0,"-",(VLOOKUP(AA70,'APP 2885'!$B$10:$G$54,4)*$R70)/($X70+$AD70)))</f>
        <v>3.1248594609787275</v>
      </c>
    </row>
    <row r="71" spans="3:41" ht="20.100000000000001" customHeight="1" thickBot="1" x14ac:dyDescent="0.3">
      <c r="C71" s="119">
        <v>7</v>
      </c>
      <c r="D71" s="55" t="str">
        <f>E71&amp;"_"&amp;F71&amp;"_"&amp;G71</f>
        <v>Whole House Residential Air Sealing_Zone 1_Min. 400 CFM50 reduction</v>
      </c>
      <c r="E71" s="11" t="s">
        <v>61</v>
      </c>
      <c r="F71" s="11" t="s">
        <v>21</v>
      </c>
      <c r="G71" s="11" t="s">
        <v>62</v>
      </c>
      <c r="H71" s="11" t="str">
        <f>G71</f>
        <v>Min. 400 CFM50 reduction</v>
      </c>
      <c r="I71" s="12">
        <v>24</v>
      </c>
      <c r="J71" s="12">
        <v>24</v>
      </c>
      <c r="K71" s="12"/>
      <c r="L71" s="12">
        <f>(R71/Q71)</f>
        <v>13.858077734588029</v>
      </c>
      <c r="M71" s="132">
        <v>2.4215385603280938E-3</v>
      </c>
      <c r="N71" s="71">
        <v>75</v>
      </c>
      <c r="O71" s="73">
        <f>IF(INDEX('Res Measure Mapping'!$R:$R,MATCH($D71,'Res Measure Mapping'!$B:$B,0))="N/A",N71,INDEX('Res Measure Mapping'!$R:$R,MATCH($D71,'Res Measure Mapping'!$B:$B,0)))</f>
        <v>26.912689862127035</v>
      </c>
      <c r="P71" s="73" t="str">
        <f>INDEX('Res Measure Mapping'!$S:$S,MATCH($D71,'Res Measure Mapping'!$B:$B,0))</f>
        <v>home</v>
      </c>
      <c r="Q71" s="71">
        <f>N71</f>
        <v>75</v>
      </c>
      <c r="R71" s="136">
        <f>M71*$R$92</f>
        <v>1039.3558300941022</v>
      </c>
      <c r="S71" s="13">
        <v>750</v>
      </c>
      <c r="T71" s="77">
        <f>IF(INDEX('Res Measure Mapping'!$T:$T,MATCH($D71,'Res Measure Mapping'!$B:$B,0))="N/A",S71,INDEX('Res Measure Mapping'!$T:$T,MATCH($D71,'Res Measure Mapping'!$B:$B,0)))</f>
        <v>1537.6415007297105</v>
      </c>
      <c r="U71" s="13">
        <f>S71</f>
        <v>750</v>
      </c>
      <c r="V71" s="13">
        <f>IF($B$2="Original",PV($F$96,$Y71,(-0.05*0.95*$N71)),PV($F$96,$AA71,(-0.05*0.95*$Q71)))</f>
        <v>41.324115720737453</v>
      </c>
      <c r="W71" s="13">
        <f>IF($B$2="Original",IF(ISNUMBER(S71),S71*L71,""),IF(ISNUMBER(U71),U71*L71,""))</f>
        <v>10393.558300941022</v>
      </c>
      <c r="X71" s="14">
        <f>W71-L71*(V71)</f>
        <v>9820.8854929699319</v>
      </c>
      <c r="Y71" s="12">
        <v>13</v>
      </c>
      <c r="Z71" s="73">
        <f>IF(INDEX('Res Measure Mapping'!$U:$U,MATCH($D71,'Res Measure Mapping'!$B:$B,0))="N/A",Y71,INDEX('Res Measure Mapping'!$U:$U,MATCH($D71,'Res Measure Mapping'!$B:$B,0)))</f>
        <v>15</v>
      </c>
      <c r="AA71" s="12">
        <f>Z71</f>
        <v>15</v>
      </c>
      <c r="AB71" s="12">
        <f>IF($B$2="Original",PV($F$96,$Y71,-$R71),PV($F$96,$AA71,-$R71))</f>
        <v>12056.269641496649</v>
      </c>
      <c r="AC71" s="12">
        <f>IF($B$2="Original",PV($F$96,$Y71,-$R71),PV($F$96,$AA71,-$R71))</f>
        <v>12056.269641496649</v>
      </c>
      <c r="AD71" s="15">
        <f>(R71/$R$92)*$AD$92</f>
        <v>3130.3592200145317</v>
      </c>
      <c r="AE71" s="13">
        <v>150</v>
      </c>
      <c r="AF71" s="77">
        <f>ROUND(IF(INDEX('Res Measure Mapping'!$V:$V,MATCH($D71,'Res Measure Mapping'!$B:$B,0))="N/A",AE71,INDEX('Res Measure Mapping'!$V:$V,MATCH($D71,'Res Measure Mapping'!$B:$B,0))),0)</f>
        <v>100</v>
      </c>
      <c r="AG71" s="73" t="str">
        <f>INDEX('Res Measure Mapping'!$S:$S,MATCH($D71,'Res Measure Mapping'!$B:$B,0))</f>
        <v>home</v>
      </c>
      <c r="AH71" s="13">
        <v>300</v>
      </c>
      <c r="AI71" s="13">
        <f>IF($B$2="Original",IF(ISNUMBER(AE71),AE71*L71,""),IF(ISNUMBER(AH71),AH71*L71,""))</f>
        <v>4157.4233203764088</v>
      </c>
      <c r="AJ71" s="16">
        <f>IF(ISERROR(AI71/AC71),0,AI71/AC71)</f>
        <v>0.34483496504316008</v>
      </c>
      <c r="AK71" s="16">
        <f>IF(ISERROR((AD71+AI71)/AC71),0,(AD71+AI71)/AC71)</f>
        <v>0.60448071892047084</v>
      </c>
      <c r="AL71" s="82">
        <f>IF($B$2="Original",IF($AI71=0,"-",(VLOOKUP(Y71,'APP 2885'!$B$10:$G$54,6)*$R71)/($AI71+$AD71)),IF($AI71=0,"-",(VLOOKUP(AA71,'APP 2885'!$B$10:$G$54,6)*$R71)/($AI71+$AD71)))</f>
        <v>2.1697538014805402</v>
      </c>
      <c r="AM71" s="17">
        <f>IF(ISERROR(RU71/AB71),0,X71/AB71)</f>
        <v>0.81458741260790024</v>
      </c>
      <c r="AN71" s="18">
        <f>IF(ISERROR(X71/AB71),0,(X71+AD71)/AB71)</f>
        <v>1.0742331664852109</v>
      </c>
      <c r="AO71" s="108">
        <f>IF($B$2="Original",IF($AI71=0,"-",(VLOOKUP(Y71,'APP 2885'!$B$10:$G$54,4)*$R71)/($X71+$AD71)),IF($AI71=0,"-",(VLOOKUP(AA71,'APP 2885'!$B$10:$G$54,4)*$R71)/($X71+$AD71)))</f>
        <v>1.1099455353734524</v>
      </c>
    </row>
    <row r="72" spans="3:41" ht="20.100000000000001" customHeight="1" thickBot="1" x14ac:dyDescent="0.3">
      <c r="C72" s="119">
        <v>9</v>
      </c>
      <c r="D72" s="55" t="str">
        <f>E72&amp;"_"&amp;F72&amp;"_"&amp;G72</f>
        <v>Windows_Zone 1_U Factor ? 0.27</v>
      </c>
      <c r="E72" s="3" t="s">
        <v>63</v>
      </c>
      <c r="F72" s="3" t="s">
        <v>21</v>
      </c>
      <c r="G72" s="3" t="s">
        <v>64</v>
      </c>
      <c r="H72" s="3" t="str">
        <f>G72</f>
        <v>U Factor ? 0.27</v>
      </c>
      <c r="I72" s="4">
        <v>27</v>
      </c>
      <c r="J72" s="4">
        <v>28</v>
      </c>
      <c r="K72" s="4">
        <v>2623.97</v>
      </c>
      <c r="L72" s="4">
        <v>0</v>
      </c>
      <c r="M72" s="131">
        <v>0</v>
      </c>
      <c r="N72" s="70">
        <v>0.63</v>
      </c>
      <c r="O72" s="70" t="s">
        <v>125</v>
      </c>
      <c r="P72" s="70" t="s">
        <v>125</v>
      </c>
      <c r="Q72" s="70">
        <v>0</v>
      </c>
      <c r="R72" s="135">
        <f>M72*$R$92</f>
        <v>0</v>
      </c>
      <c r="S72" s="5">
        <v>23.09</v>
      </c>
      <c r="T72" s="76" t="s">
        <v>125</v>
      </c>
      <c r="U72" s="5">
        <f>S72</f>
        <v>23.09</v>
      </c>
      <c r="V72" s="5">
        <f>IF($B$2="Original",PV($F$96,$Y72,(-0.05*0.95*$N72)),PV($F$96,$AA72,(-0.05*0.95*$Q72)))</f>
        <v>0</v>
      </c>
      <c r="W72" s="5">
        <f>IF($B$2="Original",IF(ISNUMBER(S72),S72*L72,""),IF(ISNUMBER(U72),U72*L72,""))</f>
        <v>0</v>
      </c>
      <c r="X72" s="6">
        <f>W72-L72*(V72)</f>
        <v>0</v>
      </c>
      <c r="Y72" s="4">
        <v>45</v>
      </c>
      <c r="Z72" s="70" t="s">
        <v>125</v>
      </c>
      <c r="AA72" s="4">
        <f>Y72</f>
        <v>45</v>
      </c>
      <c r="AB72" s="4">
        <f>IF($B$2="Original",PV($F$96,$Y72,-$R72),PV($F$96,$AA72,-$R72))</f>
        <v>0</v>
      </c>
      <c r="AC72" s="4">
        <f>IF($B$2="Original",PV($F$96,$Y72,-$R72),PV($F$96,$AA72,-$R72))</f>
        <v>0</v>
      </c>
      <c r="AD72" s="7">
        <f>(R72/$R$92)*$AD$92</f>
        <v>0</v>
      </c>
      <c r="AE72" s="5">
        <v>7</v>
      </c>
      <c r="AF72" s="76" t="s">
        <v>125</v>
      </c>
      <c r="AG72" s="70" t="s">
        <v>125</v>
      </c>
      <c r="AH72" s="5">
        <v>0</v>
      </c>
      <c r="AI72" s="5">
        <f>IF($B$2="Original",IF(ISNUMBER(AE72),AE72*L72,""),IF(ISNUMBER(AH72),AH72*L72,""))</f>
        <v>0</v>
      </c>
      <c r="AJ72" s="8">
        <f>IF(ISERROR(AI72/AC72),0,AI72/AC72)</f>
        <v>0</v>
      </c>
      <c r="AK72" s="8">
        <f>IF(ISERROR((AD72+AI72)/AC72),0,(AD72+AI72)/AC72)</f>
        <v>0</v>
      </c>
      <c r="AL72" s="81" t="str">
        <f>IF($B$2="Original",IF($AI72=0,"-",(VLOOKUP(Y72,'APP 2885'!$B$10:$G$54,6)*$R72)/($AI72+$AD72)),IF($AI72=0,"-",(VLOOKUP(AA72,'APP 2885'!$B$10:$G$54,6)*$R72)/($AI72+$AD72)))</f>
        <v>-</v>
      </c>
      <c r="AM72" s="9">
        <f>IF(ISERROR(RU72/AB72),0,X72/AB72)</f>
        <v>0</v>
      </c>
      <c r="AN72" s="10">
        <f>IF(ISERROR(X72/AB72),0,(X72+AD72)/AB72)</f>
        <v>0</v>
      </c>
      <c r="AO72" s="107" t="str">
        <f>IF($B$2="Original",IF($AI72=0,"-",(VLOOKUP(Y72,'APP 2885'!$B$10:$G$54,4)*$R72)/($X72+$AD72)),IF($AI72=0,"-",(VLOOKUP(AA72,'APP 2885'!$B$10:$G$54,4)*$R72)/($X72+$AD72)))</f>
        <v>-</v>
      </c>
    </row>
    <row r="73" spans="3:41" ht="20.100000000000001" customHeight="1" thickBot="1" x14ac:dyDescent="0.3">
      <c r="C73" s="119">
        <v>9</v>
      </c>
      <c r="D73" s="55" t="str">
        <f>E73&amp;"_"&amp;F73&amp;"_"&amp;G73</f>
        <v>Windows_Zone 2_U Factor ? 0.27</v>
      </c>
      <c r="E73" s="11" t="s">
        <v>63</v>
      </c>
      <c r="F73" s="11" t="s">
        <v>23</v>
      </c>
      <c r="G73" s="11" t="s">
        <v>64</v>
      </c>
      <c r="H73" s="11" t="str">
        <f>G73</f>
        <v>U Factor ? 0.27</v>
      </c>
      <c r="I73" s="12">
        <v>22</v>
      </c>
      <c r="J73" s="12">
        <v>22</v>
      </c>
      <c r="K73" s="12">
        <v>3056.46</v>
      </c>
      <c r="L73" s="12">
        <v>0</v>
      </c>
      <c r="M73" s="132">
        <v>0</v>
      </c>
      <c r="N73" s="71">
        <v>0.63</v>
      </c>
      <c r="O73" s="73" t="s">
        <v>125</v>
      </c>
      <c r="P73" s="73" t="s">
        <v>125</v>
      </c>
      <c r="Q73" s="71">
        <v>0</v>
      </c>
      <c r="R73" s="136">
        <f>M73*$R$92</f>
        <v>0</v>
      </c>
      <c r="S73" s="13">
        <v>23.09</v>
      </c>
      <c r="T73" s="77" t="s">
        <v>125</v>
      </c>
      <c r="U73" s="13">
        <f>S73</f>
        <v>23.09</v>
      </c>
      <c r="V73" s="13">
        <f>IF($B$2="Original",PV($F$96,$Y73,(-0.05*0.95*$N73)),PV($F$96,$AA73,(-0.05*0.95*$Q73)))</f>
        <v>0</v>
      </c>
      <c r="W73" s="13">
        <f>IF($B$2="Original",IF(ISNUMBER(S73),S73*L73,""),IF(ISNUMBER(U73),U73*L73,""))</f>
        <v>0</v>
      </c>
      <c r="X73" s="14">
        <f>W73-L73*(V73)</f>
        <v>0</v>
      </c>
      <c r="Y73" s="12">
        <v>45</v>
      </c>
      <c r="Z73" s="73" t="s">
        <v>125</v>
      </c>
      <c r="AA73" s="12">
        <f>Y73</f>
        <v>45</v>
      </c>
      <c r="AB73" s="12">
        <f>IF($B$2="Original",PV($F$96,$Y73,-$R73),PV($F$96,$AA73,-$R73))</f>
        <v>0</v>
      </c>
      <c r="AC73" s="12">
        <f>IF($B$2="Original",PV($F$96,$Y73,-$R73),PV($F$96,$AA73,-$R73))</f>
        <v>0</v>
      </c>
      <c r="AD73" s="15">
        <f>(R73/$R$92)*$AD$92</f>
        <v>0</v>
      </c>
      <c r="AE73" s="13">
        <v>7</v>
      </c>
      <c r="AF73" s="77" t="s">
        <v>125</v>
      </c>
      <c r="AG73" s="73" t="s">
        <v>125</v>
      </c>
      <c r="AH73" s="13">
        <v>0</v>
      </c>
      <c r="AI73" s="13">
        <f>IF($B$2="Original",IF(ISNUMBER(AE73),AE73*L73,""),IF(ISNUMBER(AH73),AH73*L73,""))</f>
        <v>0</v>
      </c>
      <c r="AJ73" s="16">
        <f>IF(ISERROR(AI73/AC73),0,AI73/AC73)</f>
        <v>0</v>
      </c>
      <c r="AK73" s="16">
        <f>IF(ISERROR((AD73+AI73)/AC73),0,(AD73+AI73)/AC73)</f>
        <v>0</v>
      </c>
      <c r="AL73" s="82" t="str">
        <f>IF($B$2="Original",IF($AI73=0,"-",(VLOOKUP(Y73,'APP 2885'!$B$10:$G$54,6)*$R73)/($AI73+$AD73)),IF($AI73=0,"-",(VLOOKUP(AA73,'APP 2885'!$B$10:$G$54,6)*$R73)/($AI73+$AD73)))</f>
        <v>-</v>
      </c>
      <c r="AM73" s="17">
        <f>IF(ISERROR(RU73/AB73),0,X73/AB73)</f>
        <v>0</v>
      </c>
      <c r="AN73" s="18">
        <f>IF(ISERROR(X73/AB73),0,(X73+AD73)/AB73)</f>
        <v>0</v>
      </c>
      <c r="AO73" s="108" t="str">
        <f>IF($B$2="Original",IF($AI73=0,"-",(VLOOKUP(Y73,'APP 2885'!$B$10:$G$54,4)*$R73)/($X73+$AD73)),IF($AI73=0,"-",(VLOOKUP(AA73,'APP 2885'!$B$10:$G$54,4)*$R73)/($X73+$AD73)))</f>
        <v>-</v>
      </c>
    </row>
    <row r="74" spans="3:41" ht="20.100000000000001" customHeight="1" thickBot="1" x14ac:dyDescent="0.3">
      <c r="C74" s="119">
        <v>9</v>
      </c>
      <c r="D74" s="55" t="str">
        <f>E74&amp;"_"&amp;F74&amp;"_"&amp;G74</f>
        <v>Windows_Zone 3_U Factor ? 0.27</v>
      </c>
      <c r="E74" s="3" t="s">
        <v>63</v>
      </c>
      <c r="F74" s="3" t="s">
        <v>24</v>
      </c>
      <c r="G74" s="3" t="s">
        <v>64</v>
      </c>
      <c r="H74" s="3" t="str">
        <f>G74</f>
        <v>U Factor ? 0.27</v>
      </c>
      <c r="I74" s="4">
        <v>22</v>
      </c>
      <c r="J74" s="4">
        <v>22</v>
      </c>
      <c r="K74" s="4">
        <v>2054.52</v>
      </c>
      <c r="L74" s="4">
        <v>0</v>
      </c>
      <c r="M74" s="131">
        <v>0</v>
      </c>
      <c r="N74" s="70">
        <v>0.63</v>
      </c>
      <c r="O74" s="70" t="s">
        <v>125</v>
      </c>
      <c r="P74" s="70" t="s">
        <v>125</v>
      </c>
      <c r="Q74" s="70">
        <v>0</v>
      </c>
      <c r="R74" s="135">
        <f>M74*$R$92</f>
        <v>0</v>
      </c>
      <c r="S74" s="5">
        <v>23.09</v>
      </c>
      <c r="T74" s="76" t="s">
        <v>125</v>
      </c>
      <c r="U74" s="5">
        <f>S74</f>
        <v>23.09</v>
      </c>
      <c r="V74" s="5">
        <f>IF($B$2="Original",PV($F$96,$Y74,(-0.05*0.95*$N74)),PV($F$96,$AA74,(-0.05*0.95*$Q74)))</f>
        <v>0</v>
      </c>
      <c r="W74" s="5">
        <f>IF($B$2="Original",IF(ISNUMBER(S74),S74*L74,""),IF(ISNUMBER(U74),U74*L74,""))</f>
        <v>0</v>
      </c>
      <c r="X74" s="6">
        <f>W74-L74*(V74)</f>
        <v>0</v>
      </c>
      <c r="Y74" s="4">
        <v>45</v>
      </c>
      <c r="Z74" s="70" t="s">
        <v>125</v>
      </c>
      <c r="AA74" s="4">
        <f>Y74</f>
        <v>45</v>
      </c>
      <c r="AB74" s="4">
        <f>IF($B$2="Original",PV($F$96,$Y74,-$R74),PV($F$96,$AA74,-$R74))</f>
        <v>0</v>
      </c>
      <c r="AC74" s="4">
        <f>IF($B$2="Original",PV($F$96,$Y74,-$R74),PV($F$96,$AA74,-$R74))</f>
        <v>0</v>
      </c>
      <c r="AD74" s="7">
        <f>(R74/$R$92)*$AD$92</f>
        <v>0</v>
      </c>
      <c r="AE74" s="5">
        <v>7</v>
      </c>
      <c r="AF74" s="76" t="s">
        <v>125</v>
      </c>
      <c r="AG74" s="70" t="s">
        <v>125</v>
      </c>
      <c r="AH74" s="5">
        <v>0</v>
      </c>
      <c r="AI74" s="5">
        <f>IF($B$2="Original",IF(ISNUMBER(AE74),AE74*L74,""),IF(ISNUMBER(AH74),AH74*L74,""))</f>
        <v>0</v>
      </c>
      <c r="AJ74" s="8">
        <f>IF(ISERROR(AI74/AC74),0,AI74/AC74)</f>
        <v>0</v>
      </c>
      <c r="AK74" s="8">
        <f>IF(ISERROR((AD74+AI74)/AC74),0,(AD74+AI74)/AC74)</f>
        <v>0</v>
      </c>
      <c r="AL74" s="81" t="str">
        <f>IF($B$2="Original",IF($AI74=0,"-",(VLOOKUP(Y74,'APP 2885'!$B$10:$G$54,6)*$R74)/($AI74+$AD74)),IF($AI74=0,"-",(VLOOKUP(AA74,'APP 2885'!$B$10:$G$54,6)*$R74)/($AI74+$AD74)))</f>
        <v>-</v>
      </c>
      <c r="AM74" s="9">
        <f>IF(ISERROR(RU74/AB74),0,X74/AB74)</f>
        <v>0</v>
      </c>
      <c r="AN74" s="10">
        <f>IF(ISERROR(X74/AB74),0,(X74+AD74)/AB74)</f>
        <v>0</v>
      </c>
      <c r="AO74" s="107" t="str">
        <f>IF($B$2="Original",IF($AI74=0,"-",(VLOOKUP(Y74,'APP 2885'!$B$10:$G$54,4)*$R74)/($X74+$AD74)),IF($AI74=0,"-",(VLOOKUP(AA74,'APP 2885'!$B$10:$G$54,4)*$R74)/($X74+$AD74)))</f>
        <v>-</v>
      </c>
    </row>
    <row r="75" spans="3:41" ht="20.100000000000001" customHeight="1" thickBot="1" x14ac:dyDescent="0.3">
      <c r="C75" s="119">
        <v>8</v>
      </c>
      <c r="D75" s="55" t="str">
        <f>E75&amp;"_"&amp;F75&amp;"_"&amp;G75</f>
        <v>Windows_Zone 1_U Factor 0.30</v>
      </c>
      <c r="E75" s="11" t="s">
        <v>63</v>
      </c>
      <c r="F75" s="11" t="s">
        <v>21</v>
      </c>
      <c r="G75" s="11" t="s">
        <v>304</v>
      </c>
      <c r="H75" s="11" t="s">
        <v>182</v>
      </c>
      <c r="I75" s="12">
        <v>10</v>
      </c>
      <c r="J75" s="12">
        <v>10</v>
      </c>
      <c r="K75" s="12">
        <f>J75 * (K72/J72)</f>
        <v>937.13214285714275</v>
      </c>
      <c r="L75" s="12">
        <f>(R75/Q75)</f>
        <v>3829.2165618123395</v>
      </c>
      <c r="M75" s="132">
        <v>1.9504347511169005E-3</v>
      </c>
      <c r="N75" s="71">
        <v>0</v>
      </c>
      <c r="O75" s="73">
        <f>IF(INDEX('Res Measure Mapping'!$R:$R,MATCH($D75,'Res Measure Mapping'!$B:$B,0))="N/A",N75,INDEX('Res Measure Mapping'!$R:$R,MATCH($D75,'Res Measure Mapping'!$B:$B,0)))</f>
        <v>0.21862225270302299</v>
      </c>
      <c r="P75" s="73" t="str">
        <f>INDEX('Res Measure Mapping'!$S:$S,MATCH($D75,'Res Measure Mapping'!$B:$B,0))</f>
        <v>sqft window</v>
      </c>
      <c r="Q75" s="71">
        <f>O75</f>
        <v>0.21862225270302299</v>
      </c>
      <c r="R75" s="136">
        <f>M75*$R$92</f>
        <v>837.15195083113815</v>
      </c>
      <c r="S75" s="13">
        <v>0</v>
      </c>
      <c r="T75" s="77">
        <f>IF(INDEX('Res Measure Mapping'!$T:$T,MATCH($D75,'Res Measure Mapping'!$B:$B,0))="N/A",S75,INDEX('Res Measure Mapping'!$T:$T,MATCH($D75,'Res Measure Mapping'!$B:$B,0)))</f>
        <v>25.070000000000004</v>
      </c>
      <c r="U75" s="13">
        <f>T75</f>
        <v>25.070000000000004</v>
      </c>
      <c r="V75" s="13">
        <f>IF($B$2="Original",PV($F$96,$Y75,(-0.05*0.95*$N75)),PV($F$96,$AA75,(-0.05*0.95*$Q75)))</f>
        <v>0.23758830739195982</v>
      </c>
      <c r="W75" s="13">
        <f>IF($B$2="Original",IF(ISNUMBER(S75),S75*L75,""),IF(ISNUMBER(U75),U75*L75,""))</f>
        <v>95998.459204635365</v>
      </c>
      <c r="X75" s="14">
        <f>W75-L75*(V75)</f>
        <v>95088.682123077117</v>
      </c>
      <c r="Y75" s="12">
        <v>0</v>
      </c>
      <c r="Z75" s="73">
        <f>IF(INDEX('Res Measure Mapping'!$U:$U,MATCH($D75,'Res Measure Mapping'!$B:$B,0))="N/A",Y75,INDEX('Res Measure Mapping'!$U:$U,MATCH($D75,'Res Measure Mapping'!$B:$B,0)))</f>
        <v>45</v>
      </c>
      <c r="AA75" s="12">
        <f>Z75</f>
        <v>45</v>
      </c>
      <c r="AB75" s="12">
        <f>IF($B$2="Original",PV($F$96,$Y75,-$R75),PV($F$96,$AA75,-$R75))</f>
        <v>19153.201717015869</v>
      </c>
      <c r="AC75" s="12">
        <f>IF($B$2="Original",PV($F$96,$Y75,-$R75),PV($F$96,$AA75,-$R75))</f>
        <v>19153.201717015869</v>
      </c>
      <c r="AD75" s="15">
        <f>(R75/$R$92)*$AD$92</f>
        <v>2521.3562592900839</v>
      </c>
      <c r="AE75" s="13">
        <v>5</v>
      </c>
      <c r="AF75" s="77">
        <f>ROUND(IF(INDEX('Res Measure Mapping'!$V:$V,MATCH($D75,'Res Measure Mapping'!$B:$B,0))="N/A",AE75,INDEX('Res Measure Mapping'!$V:$V,MATCH($D75,'Res Measure Mapping'!$B:$B,0))),0)</f>
        <v>2</v>
      </c>
      <c r="AG75" s="73" t="str">
        <f>INDEX('Res Measure Mapping'!$S:$S,MATCH($D75,'Res Measure Mapping'!$B:$B,0))</f>
        <v>sqft window</v>
      </c>
      <c r="AH75" s="13">
        <f>AE75</f>
        <v>5</v>
      </c>
      <c r="AI75" s="13">
        <f>IF($B$2="Original",IF(ISNUMBER(AE75),AE75*L75,""),IF(ISNUMBER(AH75),AH75*L75,""))</f>
        <v>19146.082809061696</v>
      </c>
      <c r="AJ75" s="16">
        <f>IF(ISERROR(AI75/AC75),0,AI75/AC75)</f>
        <v>0.99962831760144577</v>
      </c>
      <c r="AK75" s="16">
        <f>IF(ISERROR((AD75+AI75)/AC75),0,(AD75+AI75)/AC75)</f>
        <v>1.1312698204970213</v>
      </c>
      <c r="AL75" s="82">
        <f>IF($B$2="Original",IF($AI75=0,"-",(VLOOKUP(Y75,'APP 2885'!$B$10:$G$54,6)*$R75)/($AI75+$AD75)),IF($AI75=0,"-",(VLOOKUP(AA75,'APP 2885'!$B$10:$G$54,6)*$R75)/($AI75+$AD75)))</f>
        <v>2.3671223748106427</v>
      </c>
      <c r="AM75" s="17">
        <f>IF(ISERROR(RU75/AB75),0,X75/AB75)</f>
        <v>4.9646363844536507</v>
      </c>
      <c r="AN75" s="18">
        <f>IF(ISERROR(X75/AB75),0,(X75+AD75)/AB75)</f>
        <v>5.0962778873492258</v>
      </c>
      <c r="AO75" s="108">
        <f>IF($B$2="Original",IF($AI75=0,"-",(VLOOKUP(Y75,'APP 2885'!$B$10:$G$54,4)*$R75)/($X75+$AD75)),IF($AI75=0,"-",(VLOOKUP(AA75,'APP 2885'!$B$10:$G$54,4)*$R75)/($X75+$AD75)))</f>
        <v>0.47768447397728242</v>
      </c>
    </row>
    <row r="76" spans="3:41" ht="20.100000000000001" customHeight="1" thickBot="1" x14ac:dyDescent="0.3">
      <c r="C76" s="119">
        <v>8</v>
      </c>
      <c r="D76" s="55" t="str">
        <f>E76&amp;"_"&amp;F76&amp;"_"&amp;G76</f>
        <v>Windows_Zone 2_U Factor 0.30</v>
      </c>
      <c r="E76" s="3" t="s">
        <v>63</v>
      </c>
      <c r="F76" s="3" t="s">
        <v>23</v>
      </c>
      <c r="G76" s="3" t="s">
        <v>304</v>
      </c>
      <c r="H76" s="3" t="s">
        <v>182</v>
      </c>
      <c r="I76" s="4">
        <v>10</v>
      </c>
      <c r="J76" s="4">
        <v>10</v>
      </c>
      <c r="K76" s="4">
        <f>J76 * (K73 / J73)</f>
        <v>1389.3000000000002</v>
      </c>
      <c r="L76" s="4">
        <f>(R76/Q76)</f>
        <v>1766.0892557224388</v>
      </c>
      <c r="M76" s="131">
        <v>1.1898784063499529E-3</v>
      </c>
      <c r="N76" s="70">
        <v>0</v>
      </c>
      <c r="O76" s="70">
        <f>IF(INDEX('Res Measure Mapping'!$R:$R,MATCH($D76,'Res Measure Mapping'!$B:$B,0))="N/A",N76,INDEX('Res Measure Mapping'!$R:$R,MATCH($D76,'Res Measure Mapping'!$B:$B,0)))</f>
        <v>0.28917637020319797</v>
      </c>
      <c r="P76" s="70" t="str">
        <f>INDEX('Res Measure Mapping'!$S:$S,MATCH($D76,'Res Measure Mapping'!$B:$B,0))</f>
        <v>sqft window</v>
      </c>
      <c r="Q76" s="70">
        <f>O76</f>
        <v>0.28917637020319797</v>
      </c>
      <c r="R76" s="135">
        <f>M76*$R$92</f>
        <v>510.71128042468234</v>
      </c>
      <c r="S76" s="5">
        <v>0</v>
      </c>
      <c r="T76" s="76">
        <f>IF(INDEX('Res Measure Mapping'!$T:$T,MATCH($D76,'Res Measure Mapping'!$B:$B,0))="N/A",S76,INDEX('Res Measure Mapping'!$T:$T,MATCH($D76,'Res Measure Mapping'!$B:$B,0)))</f>
        <v>25.070000000000004</v>
      </c>
      <c r="U76" s="5">
        <f>T76</f>
        <v>25.070000000000004</v>
      </c>
      <c r="V76" s="5">
        <f>IF($B$2="Original",PV($F$96,$Y76,(-0.05*0.95*$N76)),PV($F$96,$AA76,(-0.05*0.95*$Q76)))</f>
        <v>0.31426317991360886</v>
      </c>
      <c r="W76" s="5">
        <f>IF($B$2="Original",IF(ISNUMBER(S76),S76*L76,""),IF(ISNUMBER(U76),U76*L76,""))</f>
        <v>44275.857640961549</v>
      </c>
      <c r="X76" s="6">
        <f>W76-L76*(V76)</f>
        <v>43720.840815446958</v>
      </c>
      <c r="Y76" s="4">
        <v>0</v>
      </c>
      <c r="Z76" s="70">
        <f>IF(INDEX('Res Measure Mapping'!$U:$U,MATCH($D76,'Res Measure Mapping'!$B:$B,0))="N/A",Y76,INDEX('Res Measure Mapping'!$U:$U,MATCH($D76,'Res Measure Mapping'!$B:$B,0)))</f>
        <v>45</v>
      </c>
      <c r="AA76" s="4">
        <f>Z76</f>
        <v>45</v>
      </c>
      <c r="AB76" s="4">
        <f>IF($B$2="Original",PV($F$96,$Y76,-$R76),PV($F$96,$AA76,-$R76))</f>
        <v>11684.564747675629</v>
      </c>
      <c r="AC76" s="4">
        <f>IF($B$2="Original",PV($F$96,$Y76,-$R76),PV($F$96,$AA76,-$R76))</f>
        <v>11684.564747675629</v>
      </c>
      <c r="AD76" s="7">
        <f>(R76/$R$92)*$AD$92</f>
        <v>1538.1736640646793</v>
      </c>
      <c r="AE76" s="5">
        <v>5</v>
      </c>
      <c r="AF76" s="76">
        <f>ROUND(IF(INDEX('Res Measure Mapping'!$V:$V,MATCH($D76,'Res Measure Mapping'!$B:$B,0))="N/A",AE76,INDEX('Res Measure Mapping'!$V:$V,MATCH($D76,'Res Measure Mapping'!$B:$B,0))),0)</f>
        <v>2</v>
      </c>
      <c r="AG76" s="70" t="str">
        <f>INDEX('Res Measure Mapping'!$S:$S,MATCH($D76,'Res Measure Mapping'!$B:$B,0))</f>
        <v>sqft window</v>
      </c>
      <c r="AH76" s="5">
        <f>AE76</f>
        <v>5</v>
      </c>
      <c r="AI76" s="5">
        <f>IF($B$2="Original",IF(ISNUMBER(AE76),AE76*L76,""),IF(ISNUMBER(AH76),AH76*L76,""))</f>
        <v>8830.4462786121949</v>
      </c>
      <c r="AJ76" s="8">
        <f>IF(ISERROR(AI76/AC76),0,AI76/AC76)</f>
        <v>0.75573600466108981</v>
      </c>
      <c r="AK76" s="8">
        <f>IF(ISERROR((AD76+AI76)/AC76),0,(AD76+AI76)/AC76)</f>
        <v>0.88737750755666522</v>
      </c>
      <c r="AL76" s="81">
        <f>IF($B$2="Original",IF($AI76=0,"-",(VLOOKUP(Y76,'APP 2885'!$B$10:$G$54,6)*$R76)/($AI76+$AD76)),IF($AI76=0,"-",(VLOOKUP(AA76,'APP 2885'!$B$10:$G$54,6)*$R76)/($AI76+$AD76)))</f>
        <v>3.0177169031698936</v>
      </c>
      <c r="AM76" s="9">
        <f>IF(ISERROR(RU76/AB76),0,X76/AB76)</f>
        <v>3.7417603273707045</v>
      </c>
      <c r="AN76" s="10">
        <f>IF(ISERROR(X76/AB76),0,(X76+AD76)/AB76)</f>
        <v>3.87340183026628</v>
      </c>
      <c r="AO76" s="107">
        <f>IF($B$2="Original",IF($AI76=0,"-",(VLOOKUP(Y76,'APP 2885'!$B$10:$G$54,4)*$R76)/($X76+$AD76)),IF($AI76=0,"-",(VLOOKUP(AA76,'APP 2885'!$B$10:$G$54,4)*$R76)/($X76+$AD76)))</f>
        <v>0.62849477759789141</v>
      </c>
    </row>
    <row r="77" spans="3:41" ht="20.100000000000001" customHeight="1" thickBot="1" x14ac:dyDescent="0.3">
      <c r="C77" s="119">
        <v>8</v>
      </c>
      <c r="D77" s="55" t="str">
        <f>E77&amp;"_"&amp;F77&amp;"_"&amp;G77</f>
        <v>Windows_Zone 3_U Factor 0.30</v>
      </c>
      <c r="E77" s="11" t="s">
        <v>63</v>
      </c>
      <c r="F77" s="11" t="s">
        <v>24</v>
      </c>
      <c r="G77" s="11" t="s">
        <v>304</v>
      </c>
      <c r="H77" s="11" t="s">
        <v>182</v>
      </c>
      <c r="I77" s="12">
        <v>10</v>
      </c>
      <c r="J77" s="12">
        <v>10</v>
      </c>
      <c r="K77" s="12">
        <f>J77 * (K74/J74)</f>
        <v>933.87272727272727</v>
      </c>
      <c r="L77" s="12">
        <f>(R77/Q77)</f>
        <v>3507.1898616010126</v>
      </c>
      <c r="M77" s="132">
        <v>2.3629210526969991E-3</v>
      </c>
      <c r="N77" s="71">
        <v>0</v>
      </c>
      <c r="O77" s="73">
        <f>IF(INDEX('Res Measure Mapping'!$R:$R,MATCH($D77,'Res Measure Mapping'!$B:$B,0))="N/A",N77,INDEX('Res Measure Mapping'!$R:$R,MATCH($D77,'Res Measure Mapping'!$B:$B,0)))</f>
        <v>0.28917637020319797</v>
      </c>
      <c r="P77" s="73" t="str">
        <f>INDEX('Res Measure Mapping'!$S:$S,MATCH($D77,'Res Measure Mapping'!$B:$B,0))</f>
        <v>sqft window</v>
      </c>
      <c r="Q77" s="71">
        <f>O77</f>
        <v>0.28917637020319797</v>
      </c>
      <c r="R77" s="136">
        <f>M77*$R$92</f>
        <v>1014.196433791237</v>
      </c>
      <c r="S77" s="13">
        <v>0</v>
      </c>
      <c r="T77" s="77">
        <f>IF(INDEX('Res Measure Mapping'!$T:$T,MATCH($D77,'Res Measure Mapping'!$B:$B,0))="N/A",S77,INDEX('Res Measure Mapping'!$T:$T,MATCH($D77,'Res Measure Mapping'!$B:$B,0)))</f>
        <v>25.070000000000004</v>
      </c>
      <c r="U77" s="13">
        <f>T77</f>
        <v>25.070000000000004</v>
      </c>
      <c r="V77" s="13">
        <f>IF($B$2="Original",PV($F$96,$Y77,(-0.05*0.95*$N77)),PV($F$96,$AA77,(-0.05*0.95*$Q77)))</f>
        <v>0.31426317991360886</v>
      </c>
      <c r="W77" s="13">
        <f>IF($B$2="Original",IF(ISNUMBER(S77),S77*L77,""),IF(ISNUMBER(U77),U77*L77,""))</f>
        <v>87925.249830337401</v>
      </c>
      <c r="X77" s="14">
        <f>W77-L77*(V77)</f>
        <v>86823.069191869901</v>
      </c>
      <c r="Y77" s="12">
        <v>0</v>
      </c>
      <c r="Z77" s="73">
        <f>IF(INDEX('Res Measure Mapping'!$U:$U,MATCH($D77,'Res Measure Mapping'!$B:$B,0))="N/A",Y77,INDEX('Res Measure Mapping'!$U:$U,MATCH($D77,'Res Measure Mapping'!$B:$B,0)))</f>
        <v>45</v>
      </c>
      <c r="AA77" s="12">
        <f>Z77</f>
        <v>45</v>
      </c>
      <c r="AB77" s="12">
        <f>IF($B$2="Original",PV($F$96,$Y77,-$R77),PV($F$96,$AA77,-$R77))</f>
        <v>23203.802915105349</v>
      </c>
      <c r="AC77" s="12">
        <f>IF($B$2="Original",PV($F$96,$Y77,-$R77),PV($F$96,$AA77,-$R77))</f>
        <v>23203.802915105349</v>
      </c>
      <c r="AD77" s="15">
        <f>(R77/$R$92)*$AD$92</f>
        <v>3054.5834886372013</v>
      </c>
      <c r="AE77" s="13">
        <v>5</v>
      </c>
      <c r="AF77" s="77">
        <f>ROUND(IF(INDEX('Res Measure Mapping'!$V:$V,MATCH($D77,'Res Measure Mapping'!$B:$B,0))="N/A",AE77,INDEX('Res Measure Mapping'!$V:$V,MATCH($D77,'Res Measure Mapping'!$B:$B,0))),0)</f>
        <v>2</v>
      </c>
      <c r="AG77" s="73" t="str">
        <f>INDEX('Res Measure Mapping'!$S:$S,MATCH($D77,'Res Measure Mapping'!$B:$B,0))</f>
        <v>sqft window</v>
      </c>
      <c r="AH77" s="13">
        <f>AE77</f>
        <v>5</v>
      </c>
      <c r="AI77" s="13">
        <f>IF($B$2="Original",IF(ISNUMBER(AE77),AE77*L77,""),IF(ISNUMBER(AH77),AH77*L77,""))</f>
        <v>17535.949308005063</v>
      </c>
      <c r="AJ77" s="16">
        <f>IF(ISERROR(AI77/AC77),0,AI77/AC77)</f>
        <v>0.7557360046610897</v>
      </c>
      <c r="AK77" s="16">
        <f>IF(ISERROR((AD77+AI77)/AC77),0,(AD77+AI77)/AC77)</f>
        <v>0.887377507556665</v>
      </c>
      <c r="AL77" s="82">
        <f>IF($B$2="Original",IF($AI77=0,"-",(VLOOKUP(Y77,'APP 2885'!$B$10:$G$54,6)*$R77)/($AI77+$AD77)),IF($AI77=0,"-",(VLOOKUP(AA77,'APP 2885'!$B$10:$G$54,6)*$R77)/($AI77+$AD77)))</f>
        <v>3.017716903169894</v>
      </c>
      <c r="AM77" s="17">
        <f>IF(ISERROR(RU77/AB77),0,X77/AB77)</f>
        <v>3.7417603273707045</v>
      </c>
      <c r="AN77" s="18">
        <f>IF(ISERROR(X77/AB77),0,(X77+AD77)/AB77)</f>
        <v>3.87340183026628</v>
      </c>
      <c r="AO77" s="108">
        <f>IF($B$2="Original",IF($AI77=0,"-",(VLOOKUP(Y77,'APP 2885'!$B$10:$G$54,4)*$R77)/($X77+$AD77)),IF($AI77=0,"-",(VLOOKUP(AA77,'APP 2885'!$B$10:$G$54,4)*$R77)/($X77+$AD77)))</f>
        <v>0.62849477759789141</v>
      </c>
    </row>
    <row r="78" spans="3:41" ht="20.100000000000001" customHeight="1" thickBot="1" x14ac:dyDescent="0.3">
      <c r="C78" s="119">
        <v>22</v>
      </c>
      <c r="D78" s="55" t="str">
        <f>E78&amp;"_"&amp;F78&amp;"_"&amp;G78</f>
        <v>Windows_Zone 1_U Factor 0.22</v>
      </c>
      <c r="E78" s="3" t="s">
        <v>63</v>
      </c>
      <c r="F78" s="3" t="s">
        <v>21</v>
      </c>
      <c r="G78" s="3" t="s">
        <v>305</v>
      </c>
      <c r="H78" s="3" t="s">
        <v>306</v>
      </c>
      <c r="I78" s="4">
        <v>10</v>
      </c>
      <c r="J78" s="4">
        <v>10</v>
      </c>
      <c r="K78" s="4">
        <f>J78 * (K75/J75)</f>
        <v>937.13214285714275</v>
      </c>
      <c r="L78" s="4">
        <f>(R78/Q78)</f>
        <v>3829.9515860863639</v>
      </c>
      <c r="M78" s="131">
        <v>2.3508756663681435E-3</v>
      </c>
      <c r="N78" s="70">
        <v>0</v>
      </c>
      <c r="O78" s="70">
        <f>IF(INDEX('Res Measure Mapping'!$R:$R,MATCH($D78,'Res Measure Mapping'!$B:$B,0))="N/A",N78,INDEX('Res Measure Mapping'!$R:$R,MATCH($D78,'Res Measure Mapping'!$B:$B,0)))</f>
        <v>0.26345669774378105</v>
      </c>
      <c r="P78" s="70" t="str">
        <f>INDEX('Res Measure Mapping'!$S:$S,MATCH($D78,'Res Measure Mapping'!$B:$B,0))</f>
        <v>sqft window</v>
      </c>
      <c r="Q78" s="70">
        <f>O78</f>
        <v>0.26345669774378105</v>
      </c>
      <c r="R78" s="135">
        <f>M78*$R$92</f>
        <v>1009.02639738887</v>
      </c>
      <c r="S78" s="5">
        <v>0</v>
      </c>
      <c r="T78" s="76">
        <f>IF(INDEX('Res Measure Mapping'!$T:$T,MATCH($D78,'Res Measure Mapping'!$B:$B,0))="N/A",S78,INDEX('Res Measure Mapping'!$T:$T,MATCH($D78,'Res Measure Mapping'!$B:$B,0)))</f>
        <v>29.12</v>
      </c>
      <c r="U78" s="5">
        <f>T78</f>
        <v>29.12</v>
      </c>
      <c r="V78" s="5">
        <f>IF($B$2="Original",PV($F$96,$Y78,(-0.05*0.95*$N78)),PV($F$96,$AA78,(-0.05*0.95*$Q78)))</f>
        <v>0.28631225830907647</v>
      </c>
      <c r="W78" s="5">
        <f>IF($B$2="Original",IF(ISNUMBER(S78),S78*L78,""),IF(ISNUMBER(U78),U78*L78,""))</f>
        <v>111528.19018683492</v>
      </c>
      <c r="X78" s="6">
        <f>W78-L78*(V78)</f>
        <v>110431.62809900811</v>
      </c>
      <c r="Y78" s="4">
        <v>0</v>
      </c>
      <c r="Z78" s="70">
        <f>IF(INDEX('Res Measure Mapping'!$U:$U,MATCH($D78,'Res Measure Mapping'!$B:$B,0))="N/A",Y78,INDEX('Res Measure Mapping'!$U:$U,MATCH($D78,'Res Measure Mapping'!$B:$B,0)))</f>
        <v>45</v>
      </c>
      <c r="AA78" s="4">
        <f>Z78</f>
        <v>45</v>
      </c>
      <c r="AB78" s="4">
        <f>IF($B$2="Original",PV($F$96,$Y78,-$R78),PV($F$96,$AA78,-$R78))</f>
        <v>23085.517638459289</v>
      </c>
      <c r="AC78" s="4">
        <f>IF($B$2="Original",PV($F$96,$Y78,-$R78),PV($F$96,$AA78,-$R78))</f>
        <v>23085.517638459289</v>
      </c>
      <c r="AD78" s="7">
        <f>(R78/$R$92)*$AD$92</f>
        <v>3039.0122370490944</v>
      </c>
      <c r="AE78" s="5">
        <v>0</v>
      </c>
      <c r="AF78" s="76">
        <f>ROUND(IF(INDEX('Res Measure Mapping'!$V:$V,MATCH($D78,'Res Measure Mapping'!$B:$B,0))="N/A",AE78,INDEX('Res Measure Mapping'!$V:$V,MATCH($D78,'Res Measure Mapping'!$B:$B,0))),0)</f>
        <v>2</v>
      </c>
      <c r="AG78" s="70" t="str">
        <f>INDEX('Res Measure Mapping'!$S:$S,MATCH($D78,'Res Measure Mapping'!$B:$B,0))</f>
        <v>sqft window</v>
      </c>
      <c r="AH78" s="5">
        <v>9</v>
      </c>
      <c r="AI78" s="5">
        <f>IF($B$2="Original",IF(ISNUMBER(AE78),AE78*L78,""),IF(ISNUMBER(AH78),AH78*L78,""))</f>
        <v>34469.564274777273</v>
      </c>
      <c r="AJ78" s="8">
        <f>IF(ISERROR(AI78/AC78),0,AI78/AC78)</f>
        <v>1.4931250325248391</v>
      </c>
      <c r="AK78" s="8">
        <f>IF(ISERROR((AD78+AI78)/AC78),0,(AD78+AI78)/AC78)</f>
        <v>1.6247665354204144</v>
      </c>
      <c r="AL78" s="81">
        <f>IF($B$2="Original",IF($AI78=0,"-",(VLOOKUP(Y78,'APP 2885'!$B$10:$G$54,6)*$R78)/($AI78+$AD78)),IF($AI78=0,"-",(VLOOKUP(AA78,'APP 2885'!$B$10:$G$54,6)*$R78)/($AI78+$AD78)))</f>
        <v>1.6481470079968217</v>
      </c>
      <c r="AM78" s="9">
        <f>IF(ISERROR(RU78/AB78),0,X78/AB78)</f>
        <v>4.7835889941248135</v>
      </c>
      <c r="AN78" s="10">
        <f>IF(ISERROR(X78/AB78),0,(X78+AD78)/AB78)</f>
        <v>4.9152304970203895</v>
      </c>
      <c r="AO78" s="107">
        <f>IF($B$2="Original",IF($AI78=0,"-",(VLOOKUP(Y78,'APP 2885'!$B$10:$G$54,4)*$R78)/($X78+$AD78)),IF($AI78=0,"-",(VLOOKUP(AA78,'APP 2885'!$B$10:$G$54,4)*$R78)/($X78+$AD78)))</f>
        <v>0.49527948350259687</v>
      </c>
    </row>
    <row r="79" spans="3:41" ht="20.100000000000001" customHeight="1" thickBot="1" x14ac:dyDescent="0.3">
      <c r="C79" s="119">
        <v>22</v>
      </c>
      <c r="D79" s="55" t="str">
        <f>E79&amp;"_"&amp;F79&amp;"_"&amp;G79</f>
        <v>Windows_Zone 2_U Factor 0.22</v>
      </c>
      <c r="E79" s="11" t="s">
        <v>63</v>
      </c>
      <c r="F79" s="11" t="s">
        <v>23</v>
      </c>
      <c r="G79" s="11" t="s">
        <v>305</v>
      </c>
      <c r="H79" s="11" t="s">
        <v>306</v>
      </c>
      <c r="I79" s="12">
        <v>10</v>
      </c>
      <c r="J79" s="12">
        <v>10</v>
      </c>
      <c r="K79" s="12">
        <f>J79 * (K76 / J76)</f>
        <v>1389.3000000000002</v>
      </c>
      <c r="L79" s="12">
        <f>(R79/Q79)</f>
        <v>1766.2065703159287</v>
      </c>
      <c r="M79" s="132">
        <v>1.4380086180385845E-3</v>
      </c>
      <c r="N79" s="71">
        <v>0</v>
      </c>
      <c r="O79" s="73">
        <f>IF(INDEX('Res Measure Mapping'!$R:$R,MATCH($D79,'Res Measure Mapping'!$B:$B,0))="N/A",N79,INDEX('Res Measure Mapping'!$R:$R,MATCH($D79,'Res Measure Mapping'!$B:$B,0)))</f>
        <v>0.34945628860603301</v>
      </c>
      <c r="P79" s="73" t="str">
        <f>INDEX('Res Measure Mapping'!$S:$S,MATCH($D79,'Res Measure Mapping'!$B:$B,0))</f>
        <v>sqft window</v>
      </c>
      <c r="Q79" s="71">
        <f>O79</f>
        <v>0.34945628860603301</v>
      </c>
      <c r="R79" s="136">
        <f>M79*$R$92</f>
        <v>617.21199297419491</v>
      </c>
      <c r="S79" s="13">
        <v>0</v>
      </c>
      <c r="T79" s="77">
        <f>IF(INDEX('Res Measure Mapping'!$T:$T,MATCH($D79,'Res Measure Mapping'!$B:$B,0))="N/A",S79,INDEX('Res Measure Mapping'!$T:$T,MATCH($D79,'Res Measure Mapping'!$B:$B,0)))</f>
        <v>29.12</v>
      </c>
      <c r="U79" s="13">
        <f>T79</f>
        <v>29.12</v>
      </c>
      <c r="V79" s="13">
        <f>IF($B$2="Original",PV($F$96,$Y79,(-0.05*0.95*$N79)),PV($F$96,$AA79,(-0.05*0.95*$Q79)))</f>
        <v>0.37977253957842677</v>
      </c>
      <c r="W79" s="13">
        <f>IF($B$2="Original",IF(ISNUMBER(S79),S79*L79,""),IF(ISNUMBER(U79),U79*L79,""))</f>
        <v>51431.935327599844</v>
      </c>
      <c r="X79" s="14">
        <f>W79-L79*(V79)</f>
        <v>50761.178572970857</v>
      </c>
      <c r="Y79" s="12">
        <v>0</v>
      </c>
      <c r="Z79" s="73">
        <f>IF(INDEX('Res Measure Mapping'!$U:$U,MATCH($D79,'Res Measure Mapping'!$B:$B,0))="N/A",Y79,INDEX('Res Measure Mapping'!$U:$U,MATCH($D79,'Res Measure Mapping'!$B:$B,0)))</f>
        <v>45</v>
      </c>
      <c r="AA79" s="12">
        <f>Z79</f>
        <v>45</v>
      </c>
      <c r="AB79" s="12">
        <f>IF($B$2="Original",PV($F$96,$Y79,-$R79),PV($F$96,$AA79,-$R79))</f>
        <v>14121.194834294387</v>
      </c>
      <c r="AC79" s="12">
        <f>IF($B$2="Original",PV($F$96,$Y79,-$R79),PV($F$96,$AA79,-$R79))</f>
        <v>14121.194834294387</v>
      </c>
      <c r="AD79" s="15">
        <f>(R79/$R$92)*$AD$92</f>
        <v>1858.9353106677488</v>
      </c>
      <c r="AE79" s="13">
        <v>0</v>
      </c>
      <c r="AF79" s="77">
        <f>ROUND(IF(INDEX('Res Measure Mapping'!$V:$V,MATCH($D79,'Res Measure Mapping'!$B:$B,0))="N/A",AE79,INDEX('Res Measure Mapping'!$V:$V,MATCH($D79,'Res Measure Mapping'!$B:$B,0))),0)</f>
        <v>2</v>
      </c>
      <c r="AG79" s="73" t="str">
        <f>INDEX('Res Measure Mapping'!$S:$S,MATCH($D79,'Res Measure Mapping'!$B:$B,0))</f>
        <v>sqft window</v>
      </c>
      <c r="AH79" s="13">
        <v>9</v>
      </c>
      <c r="AI79" s="13">
        <f>IF($B$2="Original",IF(ISNUMBER(AE79),AE79*L79,""),IF(ISNUMBER(AH79),AH79*L79,""))</f>
        <v>15895.859132843358</v>
      </c>
      <c r="AJ79" s="16">
        <f>IF(ISERROR(AI79/AC79),0,AI79/AC79)</f>
        <v>1.1256738058906364</v>
      </c>
      <c r="AK79" s="16">
        <f>IF(ISERROR((AD79+AI79)/AC79),0,(AD79+AI79)/AC79)</f>
        <v>1.2573153087862117</v>
      </c>
      <c r="AL79" s="82">
        <f>IF($B$2="Original",IF($AI79=0,"-",(VLOOKUP(Y79,'APP 2885'!$B$10:$G$54,6)*$R79)/($AI79+$AD79)),IF($AI79=0,"-",(VLOOKUP(AA79,'APP 2885'!$B$10:$G$54,6)*$R79)/($AI79+$AD79)))</f>
        <v>2.129819055994528</v>
      </c>
      <c r="AM79" s="17">
        <f>IF(ISERROR(RU79/AB79),0,X79/AB79)</f>
        <v>3.5946801363928147</v>
      </c>
      <c r="AN79" s="18">
        <f>IF(ISERROR(X79/AB79),0,(X79+AD79)/AB79)</f>
        <v>3.7263216392883902</v>
      </c>
      <c r="AO79" s="108">
        <f>IF($B$2="Original",IF($AI79=0,"-",(VLOOKUP(Y79,'APP 2885'!$B$10:$G$54,4)*$R79)/($X79+$AD79)),IF($AI79=0,"-",(VLOOKUP(AA79,'APP 2885'!$B$10:$G$54,4)*$R79)/($X79+$AD79)))</f>
        <v>0.6533018503269532</v>
      </c>
    </row>
    <row r="80" spans="3:41" ht="20.100000000000001" customHeight="1" thickBot="1" x14ac:dyDescent="0.3">
      <c r="C80" s="119">
        <v>22</v>
      </c>
      <c r="D80" s="55" t="str">
        <f>E80&amp;"_"&amp;F80&amp;"_"&amp;G80</f>
        <v>Windows_Zone 3_U Factor 0.22</v>
      </c>
      <c r="E80" s="3" t="s">
        <v>63</v>
      </c>
      <c r="F80" s="3" t="s">
        <v>24</v>
      </c>
      <c r="G80" s="3" t="s">
        <v>305</v>
      </c>
      <c r="H80" s="3" t="s">
        <v>306</v>
      </c>
      <c r="I80" s="4">
        <v>10</v>
      </c>
      <c r="J80" s="4">
        <v>10</v>
      </c>
      <c r="K80" s="4">
        <f>J80 * (K77/J77)</f>
        <v>933.87272727272727</v>
      </c>
      <c r="L80" s="4">
        <f>(R80/Q80)</f>
        <v>3507.5261224817368</v>
      </c>
      <c r="M80" s="131">
        <v>2.855754744034262E-3</v>
      </c>
      <c r="N80" s="70">
        <v>0</v>
      </c>
      <c r="O80" s="70">
        <f>IF(INDEX('Res Measure Mapping'!$R:$R,MATCH($D80,'Res Measure Mapping'!$B:$B,0))="N/A",N80,INDEX('Res Measure Mapping'!$R:$R,MATCH($D80,'Res Measure Mapping'!$B:$B,0)))</f>
        <v>0.34945628860603301</v>
      </c>
      <c r="P80" s="70" t="str">
        <f>INDEX('Res Measure Mapping'!$S:$S,MATCH($D80,'Res Measure Mapping'!$B:$B,0))</f>
        <v>sqft window</v>
      </c>
      <c r="Q80" s="70">
        <f>O80</f>
        <v>0.34945628860603301</v>
      </c>
      <c r="R80" s="135">
        <f>M80*$R$92</f>
        <v>1225.7270609511777</v>
      </c>
      <c r="S80" s="5">
        <v>0</v>
      </c>
      <c r="T80" s="76">
        <f>IF(INDEX('Res Measure Mapping'!$T:$T,MATCH($D80,'Res Measure Mapping'!$B:$B,0))="N/A",S80,INDEX('Res Measure Mapping'!$T:$T,MATCH($D80,'Res Measure Mapping'!$B:$B,0)))</f>
        <v>29.12</v>
      </c>
      <c r="U80" s="5">
        <f>T80</f>
        <v>29.12</v>
      </c>
      <c r="V80" s="5">
        <f>IF($B$2="Original",PV($F$96,$Y80,(-0.05*0.95*$N80)),PV($F$96,$AA80,(-0.05*0.95*$Q80)))</f>
        <v>0.37977253957842677</v>
      </c>
      <c r="W80" s="5">
        <f>IF($B$2="Original",IF(ISNUMBER(S80),S80*L80,""),IF(ISNUMBER(U80),U80*L80,""))</f>
        <v>102139.16068666818</v>
      </c>
      <c r="X80" s="6">
        <f>W80-L80*(V80)</f>
        <v>100807.09858349562</v>
      </c>
      <c r="Y80" s="4">
        <v>0</v>
      </c>
      <c r="Z80" s="70">
        <f>IF(INDEX('Res Measure Mapping'!$U:$U,MATCH($D80,'Res Measure Mapping'!$B:$B,0))="N/A",Y80,INDEX('Res Measure Mapping'!$U:$U,MATCH($D80,'Res Measure Mapping'!$B:$B,0)))</f>
        <v>45</v>
      </c>
      <c r="AA80" s="4">
        <f>Z80</f>
        <v>45</v>
      </c>
      <c r="AB80" s="4">
        <f>IF($B$2="Original",PV($F$96,$Y80,-$R80),PV($F$96,$AA80,-$R80))</f>
        <v>28043.412698369706</v>
      </c>
      <c r="AC80" s="4">
        <f>IF($B$2="Original",PV($F$96,$Y80,-$R80),PV($F$96,$AA80,-$R80))</f>
        <v>28043.412698369706</v>
      </c>
      <c r="AD80" s="7">
        <f>(R80/$R$92)*$AD$92</f>
        <v>3691.6769939342512</v>
      </c>
      <c r="AE80" s="5">
        <v>0</v>
      </c>
      <c r="AF80" s="76">
        <f>ROUND(IF(INDEX('Res Measure Mapping'!$V:$V,MATCH($D80,'Res Measure Mapping'!$B:$B,0))="N/A",AE80,INDEX('Res Measure Mapping'!$V:$V,MATCH($D80,'Res Measure Mapping'!$B:$B,0))),0)</f>
        <v>2</v>
      </c>
      <c r="AG80" s="70" t="str">
        <f>INDEX('Res Measure Mapping'!$S:$S,MATCH($D80,'Res Measure Mapping'!$B:$B,0))</f>
        <v>sqft window</v>
      </c>
      <c r="AH80" s="5">
        <v>9</v>
      </c>
      <c r="AI80" s="5">
        <f>IF($B$2="Original",IF(ISNUMBER(AE80),AE80*L80,""),IF(ISNUMBER(AH80),AH80*L80,""))</f>
        <v>31567.735102335631</v>
      </c>
      <c r="AJ80" s="8">
        <f>IF(ISERROR(AI80/AC80),0,AI80/AC80)</f>
        <v>1.1256738058906366</v>
      </c>
      <c r="AK80" s="8">
        <f>IF(ISERROR((AD80+AI80)/AC80),0,(AD80+AI80)/AC80)</f>
        <v>1.2573153087862119</v>
      </c>
      <c r="AL80" s="81">
        <f>IF($B$2="Original",IF($AI80=0,"-",(VLOOKUP(Y80,'APP 2885'!$B$10:$G$54,6)*$R80)/($AI80+$AD80)),IF($AI80=0,"-",(VLOOKUP(AA80,'APP 2885'!$B$10:$G$54,6)*$R80)/($AI80+$AD80)))</f>
        <v>2.1298190559945285</v>
      </c>
      <c r="AM80" s="9">
        <f>IF(ISERROR(RU80/AB80),0,X80/AB80)</f>
        <v>3.5946801363928151</v>
      </c>
      <c r="AN80" s="10">
        <f>IF(ISERROR(X80/AB80),0,(X80+AD80)/AB80)</f>
        <v>3.7263216392883907</v>
      </c>
      <c r="AO80" s="107">
        <f>IF($B$2="Original",IF($AI80=0,"-",(VLOOKUP(Y80,'APP 2885'!$B$10:$G$54,4)*$R80)/($X80+$AD80)),IF($AI80=0,"-",(VLOOKUP(AA80,'APP 2885'!$B$10:$G$54,4)*$R80)/($X80+$AD80)))</f>
        <v>0.6533018503269532</v>
      </c>
    </row>
    <row r="81" spans="2:41" ht="20.100000000000001" customHeight="1" thickBot="1" x14ac:dyDescent="0.3">
      <c r="C81" s="119" t="s">
        <v>125</v>
      </c>
      <c r="D81" s="55" t="str">
        <f>E81&amp;"_"&amp;F81&amp;"_"&amp;G81</f>
        <v>Bundle A_Zone 1_</v>
      </c>
      <c r="E81" s="11" t="s">
        <v>29</v>
      </c>
      <c r="F81" s="11" t="s">
        <v>21</v>
      </c>
      <c r="G81" s="11"/>
      <c r="H81" s="11"/>
      <c r="I81" s="12">
        <v>88</v>
      </c>
      <c r="J81" s="12">
        <v>88</v>
      </c>
      <c r="K81" s="12"/>
      <c r="L81" s="12">
        <v>88</v>
      </c>
      <c r="M81" s="132">
        <v>0</v>
      </c>
      <c r="N81" s="71">
        <v>0</v>
      </c>
      <c r="O81" s="73">
        <f>IF(INDEX('Res Measure Mapping'!$R:$R,MATCH($D81,'Res Measure Mapping'!$B:$B,0))="N/A",N81,INDEX('Res Measure Mapping'!$R:$R,MATCH($D81,'Res Measure Mapping'!$B:$B,0)))</f>
        <v>0</v>
      </c>
      <c r="P81" s="73" t="str">
        <f>INDEX('Res Measure Mapping'!$S:$S,MATCH($D81,'Res Measure Mapping'!$B:$B,0))</f>
        <v>N/A</v>
      </c>
      <c r="Q81" s="71">
        <f>N81</f>
        <v>0</v>
      </c>
      <c r="R81" s="136">
        <f>M81*$R$92</f>
        <v>0</v>
      </c>
      <c r="S81" s="13">
        <v>0</v>
      </c>
      <c r="T81" s="77">
        <f>IF(INDEX('Res Measure Mapping'!$T:$T,MATCH($D81,'Res Measure Mapping'!$B:$B,0))="N/A",S81,INDEX('Res Measure Mapping'!$T:$T,MATCH($D81,'Res Measure Mapping'!$B:$B,0)))</f>
        <v>0</v>
      </c>
      <c r="U81" s="13">
        <f>T81</f>
        <v>0</v>
      </c>
      <c r="V81" s="13">
        <f>IF($B$2="Original",PV($F$96,$Y81,(-0.05*0.95*$N81)),PV($F$96,$AA81,(-0.05*0.95*$Q81)))</f>
        <v>0</v>
      </c>
      <c r="W81" s="13">
        <f>IF($B$2="Original",IF(ISNUMBER(S81),S81*L81,""),IF(ISNUMBER(U81),U81*L81,""))</f>
        <v>0</v>
      </c>
      <c r="X81" s="14">
        <f>W81-L81*(V81)</f>
        <v>0</v>
      </c>
      <c r="Y81" s="12">
        <v>0</v>
      </c>
      <c r="Z81" s="73">
        <f>IF(INDEX('Res Measure Mapping'!$U:$U,MATCH($D81,'Res Measure Mapping'!$B:$B,0))="N/A",Y81,INDEX('Res Measure Mapping'!$U:$U,MATCH($D81,'Res Measure Mapping'!$B:$B,0)))</f>
        <v>0</v>
      </c>
      <c r="AA81" s="12">
        <f>Z81</f>
        <v>0</v>
      </c>
      <c r="AB81" s="12">
        <f>IF($B$2="Original",PV($F$96,$Y81,-$R81),PV($F$96,$AA81,-$R81))</f>
        <v>0</v>
      </c>
      <c r="AC81" s="12">
        <f>IF($B$2="Original",PV($F$96,$Y81,-$R81),PV($F$96,$AA81,-$R81))</f>
        <v>0</v>
      </c>
      <c r="AD81" s="15">
        <f>(R81/$R$92)*$AD$92</f>
        <v>0</v>
      </c>
      <c r="AE81" s="13">
        <v>250</v>
      </c>
      <c r="AF81" s="77" t="s">
        <v>125</v>
      </c>
      <c r="AG81" s="73" t="str">
        <f>INDEX('Res Measure Mapping'!$S:$S,MATCH($D81,'Res Measure Mapping'!$B:$B,0))</f>
        <v>N/A</v>
      </c>
      <c r="AH81" s="13">
        <f>AE81</f>
        <v>250</v>
      </c>
      <c r="AI81" s="13">
        <f>IF($B$2="Original",IF(ISNUMBER(AE81),AE81*L81,""),IF(ISNUMBER(AH81),AH81*L81,""))</f>
        <v>22000</v>
      </c>
      <c r="AJ81" s="16">
        <f>IF(ISERROR(AI81/AC81),0,AI81/AC81)</f>
        <v>0</v>
      </c>
      <c r="AK81" s="16">
        <f>IF(ISERROR((AD81+AI81)/AC81),0,(AD81+AI81)/AC81)</f>
        <v>0</v>
      </c>
      <c r="AL81" s="82" t="s">
        <v>325</v>
      </c>
      <c r="AM81" s="17">
        <f>IF(ISERROR(RU81/AB81),0,X81/AB81)</f>
        <v>0</v>
      </c>
      <c r="AN81" s="18">
        <f>IF(ISERROR(X81/AB81),0,(X81+AD81)/AB81)</f>
        <v>0</v>
      </c>
      <c r="AO81" s="108" t="s">
        <v>325</v>
      </c>
    </row>
    <row r="82" spans="2:41" ht="20.100000000000001" customHeight="1" thickBot="1" x14ac:dyDescent="0.3">
      <c r="C82" s="119" t="s">
        <v>125</v>
      </c>
      <c r="D82" s="55" t="str">
        <f>E82&amp;"_"&amp;F82&amp;"_"&amp;G82</f>
        <v>Bundle A_Zone 2_</v>
      </c>
      <c r="E82" s="3" t="s">
        <v>29</v>
      </c>
      <c r="F82" s="3" t="s">
        <v>23</v>
      </c>
      <c r="G82" s="3"/>
      <c r="H82" s="3"/>
      <c r="I82" s="4">
        <v>21</v>
      </c>
      <c r="J82" s="4">
        <v>21</v>
      </c>
      <c r="K82" s="4"/>
      <c r="L82" s="4">
        <v>21</v>
      </c>
      <c r="M82" s="131">
        <v>0</v>
      </c>
      <c r="N82" s="70">
        <v>0</v>
      </c>
      <c r="O82" s="70">
        <f>IF(INDEX('Res Measure Mapping'!$R:$R,MATCH($D82,'Res Measure Mapping'!$B:$B,0))="N/A",N82,INDEX('Res Measure Mapping'!$R:$R,MATCH($D82,'Res Measure Mapping'!$B:$B,0)))</f>
        <v>0</v>
      </c>
      <c r="P82" s="70" t="str">
        <f>INDEX('Res Measure Mapping'!$S:$S,MATCH($D82,'Res Measure Mapping'!$B:$B,0))</f>
        <v>N/A</v>
      </c>
      <c r="Q82" s="70">
        <f>N82</f>
        <v>0</v>
      </c>
      <c r="R82" s="135">
        <f>M82*$R$92</f>
        <v>0</v>
      </c>
      <c r="S82" s="5">
        <v>0</v>
      </c>
      <c r="T82" s="76">
        <f>IF(INDEX('Res Measure Mapping'!$T:$T,MATCH($D82,'Res Measure Mapping'!$B:$B,0))="N/A",S82,INDEX('Res Measure Mapping'!$T:$T,MATCH($D82,'Res Measure Mapping'!$B:$B,0)))</f>
        <v>0</v>
      </c>
      <c r="U82" s="5">
        <f>T82</f>
        <v>0</v>
      </c>
      <c r="V82" s="5">
        <f>IF($B$2="Original",PV($F$96,$Y82,(-0.05*0.95*$N82)),PV($F$96,$AA82,(-0.05*0.95*$Q82)))</f>
        <v>0</v>
      </c>
      <c r="W82" s="5">
        <f>IF($B$2="Original",IF(ISNUMBER(S82),S82*L82,""),IF(ISNUMBER(U82),U82*L82,""))</f>
        <v>0</v>
      </c>
      <c r="X82" s="6">
        <f>W82-L82*(V82)</f>
        <v>0</v>
      </c>
      <c r="Y82" s="4">
        <v>0</v>
      </c>
      <c r="Z82" s="70">
        <f>IF(INDEX('Res Measure Mapping'!$U:$U,MATCH($D82,'Res Measure Mapping'!$B:$B,0))="N/A",Y82,INDEX('Res Measure Mapping'!$U:$U,MATCH($D82,'Res Measure Mapping'!$B:$B,0)))</f>
        <v>0</v>
      </c>
      <c r="AA82" s="4">
        <f>Z82</f>
        <v>0</v>
      </c>
      <c r="AB82" s="4">
        <f>IF($B$2="Original",PV($F$96,$Y82,-$R82),PV($F$96,$AA82,-$R82))</f>
        <v>0</v>
      </c>
      <c r="AC82" s="4">
        <f>IF($B$2="Original",PV($F$96,$Y82,-$R82),PV($F$96,$AA82,-$R82))</f>
        <v>0</v>
      </c>
      <c r="AD82" s="7">
        <f>(R82/$R$92)*$AD$92</f>
        <v>0</v>
      </c>
      <c r="AE82" s="5">
        <v>250</v>
      </c>
      <c r="AF82" s="76" t="s">
        <v>125</v>
      </c>
      <c r="AG82" s="70" t="str">
        <f>INDEX('Res Measure Mapping'!$S:$S,MATCH($D82,'Res Measure Mapping'!$B:$B,0))</f>
        <v>N/A</v>
      </c>
      <c r="AH82" s="5">
        <f>AE82</f>
        <v>250</v>
      </c>
      <c r="AI82" s="5">
        <f>IF($B$2="Original",IF(ISNUMBER(AE82),AE82*L82,""),IF(ISNUMBER(AH82),AH82*L82,""))</f>
        <v>5250</v>
      </c>
      <c r="AJ82" s="8">
        <f>IF(ISERROR(AI82/AC82),0,AI82/AC82)</f>
        <v>0</v>
      </c>
      <c r="AK82" s="8">
        <f>IF(ISERROR((AD82+AI82)/AC82),0,(AD82+AI82)/AC82)</f>
        <v>0</v>
      </c>
      <c r="AL82" s="81" t="s">
        <v>325</v>
      </c>
      <c r="AM82" s="9">
        <f>IF(ISERROR(RU82/AB82),0,X82/AB82)</f>
        <v>0</v>
      </c>
      <c r="AN82" s="10">
        <f>IF(ISERROR(X82/AB82),0,(X82+AD82)/AB82)</f>
        <v>0</v>
      </c>
      <c r="AO82" s="107" t="s">
        <v>325</v>
      </c>
    </row>
    <row r="83" spans="2:41" ht="20.100000000000001" customHeight="1" thickBot="1" x14ac:dyDescent="0.3">
      <c r="C83" s="119" t="s">
        <v>125</v>
      </c>
      <c r="D83" s="55" t="str">
        <f>E83&amp;"_"&amp;F83&amp;"_"&amp;G83</f>
        <v>Bundle A_Zone 3_</v>
      </c>
      <c r="E83" s="11" t="s">
        <v>29</v>
      </c>
      <c r="F83" s="11" t="s">
        <v>24</v>
      </c>
      <c r="G83" s="11"/>
      <c r="H83" s="11"/>
      <c r="I83" s="12">
        <v>33</v>
      </c>
      <c r="J83" s="12">
        <v>33</v>
      </c>
      <c r="K83" s="12"/>
      <c r="L83" s="12">
        <v>33</v>
      </c>
      <c r="M83" s="132">
        <v>0</v>
      </c>
      <c r="N83" s="71">
        <v>0</v>
      </c>
      <c r="O83" s="73">
        <f>IF(INDEX('Res Measure Mapping'!$R:$R,MATCH($D83,'Res Measure Mapping'!$B:$B,0))="N/A",N83,INDEX('Res Measure Mapping'!$R:$R,MATCH($D83,'Res Measure Mapping'!$B:$B,0)))</f>
        <v>0</v>
      </c>
      <c r="P83" s="73" t="str">
        <f>INDEX('Res Measure Mapping'!$S:$S,MATCH($D83,'Res Measure Mapping'!$B:$B,0))</f>
        <v>N/A</v>
      </c>
      <c r="Q83" s="71">
        <f>N83</f>
        <v>0</v>
      </c>
      <c r="R83" s="136">
        <f>M83*$R$92</f>
        <v>0</v>
      </c>
      <c r="S83" s="13">
        <v>0</v>
      </c>
      <c r="T83" s="77">
        <f>IF(INDEX('Res Measure Mapping'!$T:$T,MATCH($D83,'Res Measure Mapping'!$B:$B,0))="N/A",S83,INDEX('Res Measure Mapping'!$T:$T,MATCH($D83,'Res Measure Mapping'!$B:$B,0)))</f>
        <v>0</v>
      </c>
      <c r="U83" s="13">
        <f>T83</f>
        <v>0</v>
      </c>
      <c r="V83" s="13">
        <f>IF($B$2="Original",PV($F$96,$Y83,(-0.05*0.95*$N83)),PV($F$96,$AA83,(-0.05*0.95*$Q83)))</f>
        <v>0</v>
      </c>
      <c r="W83" s="13">
        <f>IF($B$2="Original",IF(ISNUMBER(S83),S83*L83,""),IF(ISNUMBER(U83),U83*L83,""))</f>
        <v>0</v>
      </c>
      <c r="X83" s="14">
        <f>W83-L83*(V83)</f>
        <v>0</v>
      </c>
      <c r="Y83" s="12">
        <v>0</v>
      </c>
      <c r="Z83" s="73">
        <f>IF(INDEX('Res Measure Mapping'!$U:$U,MATCH($D83,'Res Measure Mapping'!$B:$B,0))="N/A",Y83,INDEX('Res Measure Mapping'!$U:$U,MATCH($D83,'Res Measure Mapping'!$B:$B,0)))</f>
        <v>0</v>
      </c>
      <c r="AA83" s="12">
        <f>Z83</f>
        <v>0</v>
      </c>
      <c r="AB83" s="12">
        <f>IF($B$2="Original",PV($F$96,$Y83,-$R83),PV($F$96,$AA83,-$R83))</f>
        <v>0</v>
      </c>
      <c r="AC83" s="12">
        <f>IF($B$2="Original",PV($F$96,$Y83,-$R83),PV($F$96,$AA83,-$R83))</f>
        <v>0</v>
      </c>
      <c r="AD83" s="15">
        <f>(R83/$R$92)*$AD$92</f>
        <v>0</v>
      </c>
      <c r="AE83" s="13">
        <v>250</v>
      </c>
      <c r="AF83" s="77" t="s">
        <v>125</v>
      </c>
      <c r="AG83" s="73" t="str">
        <f>INDEX('Res Measure Mapping'!$S:$S,MATCH($D83,'Res Measure Mapping'!$B:$B,0))</f>
        <v>N/A</v>
      </c>
      <c r="AH83" s="13">
        <f>AE83</f>
        <v>250</v>
      </c>
      <c r="AI83" s="13">
        <f>IF($B$2="Original",IF(ISNUMBER(AE83),AE83*L83,""),IF(ISNUMBER(AH83),AH83*L83,""))</f>
        <v>8250</v>
      </c>
      <c r="AJ83" s="16">
        <f>IF(ISERROR(AI83/AC83),0,AI83/AC83)</f>
        <v>0</v>
      </c>
      <c r="AK83" s="16">
        <f>IF(ISERROR((AD83+AI83)/AC83),0,(AD83+AI83)/AC83)</f>
        <v>0</v>
      </c>
      <c r="AL83" s="82" t="s">
        <v>325</v>
      </c>
      <c r="AM83" s="17">
        <f>IF(ISERROR(RU83/AB83),0,X83/AB83)</f>
        <v>0</v>
      </c>
      <c r="AN83" s="18">
        <f>IF(ISERROR(X83/AB83),0,(X83+AD83)/AB83)</f>
        <v>0</v>
      </c>
      <c r="AO83" s="108" t="s">
        <v>325</v>
      </c>
    </row>
    <row r="84" spans="2:41" ht="20.100000000000001" customHeight="1" thickBot="1" x14ac:dyDescent="0.3">
      <c r="C84" s="119" t="s">
        <v>125</v>
      </c>
      <c r="D84" s="55" t="str">
        <f>E84&amp;"_"&amp;F84&amp;"_"&amp;G84</f>
        <v>Bundle B_Zone 1_</v>
      </c>
      <c r="E84" s="3" t="s">
        <v>30</v>
      </c>
      <c r="F84" s="3" t="s">
        <v>21</v>
      </c>
      <c r="G84" s="3"/>
      <c r="H84" s="3"/>
      <c r="I84" s="4">
        <v>16</v>
      </c>
      <c r="J84" s="4">
        <v>16</v>
      </c>
      <c r="K84" s="4"/>
      <c r="L84" s="4">
        <v>16</v>
      </c>
      <c r="M84" s="131">
        <v>0</v>
      </c>
      <c r="N84" s="70">
        <v>0</v>
      </c>
      <c r="O84" s="70">
        <f>IF(INDEX('Res Measure Mapping'!$R:$R,MATCH($D84,'Res Measure Mapping'!$B:$B,0))="N/A",N84,INDEX('Res Measure Mapping'!$R:$R,MATCH($D84,'Res Measure Mapping'!$B:$B,0)))</f>
        <v>0</v>
      </c>
      <c r="P84" s="70" t="str">
        <f>INDEX('Res Measure Mapping'!$S:$S,MATCH($D84,'Res Measure Mapping'!$B:$B,0))</f>
        <v>N/A</v>
      </c>
      <c r="Q84" s="70">
        <f>N84</f>
        <v>0</v>
      </c>
      <c r="R84" s="135">
        <f>M84*$R$92</f>
        <v>0</v>
      </c>
      <c r="S84" s="5">
        <v>0</v>
      </c>
      <c r="T84" s="76">
        <f>IF(INDEX('Res Measure Mapping'!$T:$T,MATCH($D84,'Res Measure Mapping'!$B:$B,0))="N/A",S84,INDEX('Res Measure Mapping'!$T:$T,MATCH($D84,'Res Measure Mapping'!$B:$B,0)))</f>
        <v>0</v>
      </c>
      <c r="U84" s="5">
        <f>T84</f>
        <v>0</v>
      </c>
      <c r="V84" s="5">
        <f>IF($B$2="Original",PV($F$96,$Y84,(-0.05*0.95*$N84)),PV($F$96,$AA84,(-0.05*0.95*$Q84)))</f>
        <v>0</v>
      </c>
      <c r="W84" s="5">
        <f>IF($B$2="Original",IF(ISNUMBER(S84),S84*L84,""),IF(ISNUMBER(U84),U84*L84,""))</f>
        <v>0</v>
      </c>
      <c r="X84" s="6">
        <f>W84-L84*(V84)</f>
        <v>0</v>
      </c>
      <c r="Y84" s="4">
        <v>0</v>
      </c>
      <c r="Z84" s="70">
        <f>IF(INDEX('Res Measure Mapping'!$U:$U,MATCH($D84,'Res Measure Mapping'!$B:$B,0))="N/A",Y84,INDEX('Res Measure Mapping'!$U:$U,MATCH($D84,'Res Measure Mapping'!$B:$B,0)))</f>
        <v>0</v>
      </c>
      <c r="AA84" s="4">
        <f>Z84</f>
        <v>0</v>
      </c>
      <c r="AB84" s="4">
        <f>IF($B$2="Original",PV($F$96,$Y84,-$R84),PV($F$96,$AA84,-$R84))</f>
        <v>0</v>
      </c>
      <c r="AC84" s="4">
        <f>IF($B$2="Original",PV($F$96,$Y84,-$R84),PV($F$96,$AA84,-$R84))</f>
        <v>0</v>
      </c>
      <c r="AD84" s="7">
        <f>(R84/$R$92)*$AD$92</f>
        <v>0</v>
      </c>
      <c r="AE84" s="5">
        <v>500</v>
      </c>
      <c r="AF84" s="76" t="s">
        <v>125</v>
      </c>
      <c r="AG84" s="70" t="str">
        <f>INDEX('Res Measure Mapping'!$S:$S,MATCH($D84,'Res Measure Mapping'!$B:$B,0))</f>
        <v>N/A</v>
      </c>
      <c r="AH84" s="5">
        <f>AE84</f>
        <v>500</v>
      </c>
      <c r="AI84" s="5">
        <f>IF($B$2="Original",IF(ISNUMBER(AE84),AE84*L84,""),IF(ISNUMBER(AH84),AH84*L84,""))</f>
        <v>8000</v>
      </c>
      <c r="AJ84" s="8">
        <f>IF(ISERROR(AI84/AC84),0,AI84/AC84)</f>
        <v>0</v>
      </c>
      <c r="AK84" s="8">
        <f>IF(ISERROR((AD84+AI84)/AC84),0,(AD84+AI84)/AC84)</f>
        <v>0</v>
      </c>
      <c r="AL84" s="81" t="s">
        <v>325</v>
      </c>
      <c r="AM84" s="9">
        <f>IF(ISERROR(RU84/AB84),0,X84/AB84)</f>
        <v>0</v>
      </c>
      <c r="AN84" s="10">
        <f>IF(ISERROR(X84/AB84),0,(X84+AD84)/AB84)</f>
        <v>0</v>
      </c>
      <c r="AO84" s="107" t="s">
        <v>325</v>
      </c>
    </row>
    <row r="85" spans="2:41" ht="20.100000000000001" customHeight="1" thickBot="1" x14ac:dyDescent="0.3">
      <c r="C85" s="119">
        <v>17</v>
      </c>
      <c r="D85" s="55" t="str">
        <f>E85&amp;"_"&amp;F85&amp;"_"&amp;G85</f>
        <v>Smart Thermostat_Zone 1_Energy Star Smart Thermostat</v>
      </c>
      <c r="E85" s="11" t="s">
        <v>206</v>
      </c>
      <c r="F85" s="11" t="s">
        <v>21</v>
      </c>
      <c r="G85" s="11" t="s">
        <v>207</v>
      </c>
      <c r="H85" s="11" t="str">
        <f>G85</f>
        <v>Energy Star Smart Thermostat</v>
      </c>
      <c r="I85" s="12">
        <v>200</v>
      </c>
      <c r="J85" s="12">
        <f>I85</f>
        <v>200</v>
      </c>
      <c r="K85" s="12"/>
      <c r="L85" s="12">
        <f>(R85/Q85)</f>
        <v>814.96328468283366</v>
      </c>
      <c r="M85" s="132">
        <v>6.4930603089535244E-2</v>
      </c>
      <c r="N85" s="71">
        <v>0</v>
      </c>
      <c r="O85" s="73">
        <f>IF(INDEX('Res Measure Mapping'!$R:$R,MATCH($D85,'Res Measure Mapping'!$B:$B,0))="N/A",N85,INDEX('Res Measure Mapping'!$R:$R,MATCH($D85,'Res Measure Mapping'!$B:$B,0)))</f>
        <v>34.196704891699184</v>
      </c>
      <c r="P85" s="73" t="str">
        <f>INDEX('Res Measure Mapping'!$S:$S,MATCH($D85,'Res Measure Mapping'!$B:$B,0))</f>
        <v>household</v>
      </c>
      <c r="Q85" s="71">
        <f>O85</f>
        <v>34.196704891699184</v>
      </c>
      <c r="R85" s="136">
        <f>M85*$R$92</f>
        <v>27869.058943868691</v>
      </c>
      <c r="S85" s="13">
        <v>0</v>
      </c>
      <c r="T85" s="77">
        <f>IF(INDEX('Res Measure Mapping'!$T:$T,MATCH($D85,'Res Measure Mapping'!$B:$B,0))="N/A",S85,INDEX('Res Measure Mapping'!$T:$T,MATCH($D85,'Res Measure Mapping'!$B:$B,0)))</f>
        <v>264.41000000000003</v>
      </c>
      <c r="U85" s="13">
        <f>T85</f>
        <v>264.41000000000003</v>
      </c>
      <c r="V85" s="13">
        <f>IF($B$2="Original",PV($F$96,$Y85,(-0.05*0.95*$N85)),PV($F$96,$AA85,(-0.05*0.95*$Q85)))</f>
        <v>7.354812942830419</v>
      </c>
      <c r="W85" s="13">
        <f>IF($B$2="Original",IF(ISNUMBER(S85),S85*L85,""),IF(ISNUMBER(U85),U85*L85,""))</f>
        <v>215484.44210298808</v>
      </c>
      <c r="X85" s="14">
        <f>W85-L85*(V85)</f>
        <v>209490.53958887118</v>
      </c>
      <c r="Y85" s="12">
        <v>0</v>
      </c>
      <c r="Z85" s="73">
        <f>IF(INDEX('Res Measure Mapping'!$U:$U,MATCH($D85,'Res Measure Mapping'!$B:$B,0))="N/A",Y85,INDEX('Res Measure Mapping'!$U:$U,MATCH($D85,'Res Measure Mapping'!$B:$B,0)))</f>
        <v>5</v>
      </c>
      <c r="AA85" s="12">
        <f>Z85</f>
        <v>5</v>
      </c>
      <c r="AB85" s="12">
        <f>IF($B$2="Original",PV($F$96,$Y85,-$R85),PV($F$96,$AA85,-$R85))</f>
        <v>126187.42134982938</v>
      </c>
      <c r="AC85" s="12">
        <f>IF($B$2="Original",PV($F$96,$Y85,-$R85),PV($F$96,$AA85,-$R85))</f>
        <v>126187.42134982938</v>
      </c>
      <c r="AD85" s="15">
        <f>(R85/$R$92)*$AD$92</f>
        <v>83936.764572888555</v>
      </c>
      <c r="AE85" s="13">
        <v>0</v>
      </c>
      <c r="AF85" s="77">
        <f>ROUND(IF(INDEX('Res Measure Mapping'!$V:$V,MATCH($D85,'Res Measure Mapping'!$B:$B,0))="N/A",AE85,INDEX('Res Measure Mapping'!$V:$V,MATCH($D85,'Res Measure Mapping'!$B:$B,0))),0)</f>
        <v>25</v>
      </c>
      <c r="AG85" s="73" t="str">
        <f>INDEX('Res Measure Mapping'!$S:$S,MATCH($D85,'Res Measure Mapping'!$B:$B,0))</f>
        <v>household</v>
      </c>
      <c r="AH85" s="13">
        <v>75</v>
      </c>
      <c r="AI85" s="13">
        <f>IF($B$2="Original",IF(ISNUMBER(AE85),AE85*L85,""),IF(ISNUMBER(AH85),AH85*L85,""))</f>
        <v>61122.246351212525</v>
      </c>
      <c r="AJ85" s="16">
        <f>IF(ISERROR(AI85/AC85),0,AI85/AC85)</f>
        <v>0.48437669695906793</v>
      </c>
      <c r="AK85" s="16">
        <f>IF(ISERROR((AD85+AI85)/AC85),0,(AD85+AI85)/AC85)</f>
        <v>1.149552066064921</v>
      </c>
      <c r="AL85" s="82">
        <f>IF($B$2="Original",IF($AI85=0,"-",(VLOOKUP(Y85,'APP 2885'!$B$10:$G$54,6)*$R85)/($AI85+$AD85)),IF($AI85=0,"-",(VLOOKUP(AA85,'APP 2885'!$B$10:$G$54,6)*$R85)/($AI85+$AD85)))</f>
        <v>0.89999677653743504</v>
      </c>
      <c r="AM85" s="17">
        <f>IF(ISERROR(RU85/AB85),0,X85/AB85)</f>
        <v>1.6601538992392955</v>
      </c>
      <c r="AN85" s="18">
        <f>IF(ISERROR(X85/AB85),0,(X85+AD85)/AB85)</f>
        <v>2.3253292683451487</v>
      </c>
      <c r="AO85" s="108">
        <f>IF($B$2="Original",IF($AI85=0,"-",(VLOOKUP(Y85,'APP 2885'!$B$10:$G$54,4)*$R85)/($X85+$AD85)),IF($AI85=0,"-",(VLOOKUP(AA85,'APP 2885'!$B$10:$G$54,4)*$R85)/($X85+$AD85)))</f>
        <v>0.4044757203379003</v>
      </c>
    </row>
    <row r="86" spans="2:41" ht="20.100000000000001" customHeight="1" thickBot="1" x14ac:dyDescent="0.3">
      <c r="C86" s="119">
        <v>17</v>
      </c>
      <c r="D86" s="55" t="str">
        <f>E86&amp;"_"&amp;F86&amp;"_"&amp;G86</f>
        <v>Smart Thermostat_Zone 2_Energy Star Smart Thermostat</v>
      </c>
      <c r="E86" s="3" t="s">
        <v>206</v>
      </c>
      <c r="F86" s="3" t="s">
        <v>23</v>
      </c>
      <c r="G86" s="3" t="s">
        <v>207</v>
      </c>
      <c r="H86" s="3" t="str">
        <f>G86</f>
        <v>Energy Star Smart Thermostat</v>
      </c>
      <c r="I86" s="4">
        <v>80</v>
      </c>
      <c r="J86" s="4">
        <f>I86</f>
        <v>80</v>
      </c>
      <c r="K86" s="4"/>
      <c r="L86" s="4">
        <f>(R86/Q86)</f>
        <v>402.64130125337851</v>
      </c>
      <c r="M86" s="131">
        <v>3.2369748139416218E-2</v>
      </c>
      <c r="N86" s="70">
        <v>0</v>
      </c>
      <c r="O86" s="70">
        <f>IF(INDEX('Res Measure Mapping'!$R:$R,MATCH($D86,'Res Measure Mapping'!$B:$B,0))="N/A",N86,INDEX('Res Measure Mapping'!$R:$R,MATCH($D86,'Res Measure Mapping'!$B:$B,0)))</f>
        <v>34.505940311920931</v>
      </c>
      <c r="P86" s="70" t="str">
        <f>INDEX('Res Measure Mapping'!$S:$S,MATCH($D86,'Res Measure Mapping'!$B:$B,0))</f>
        <v>household</v>
      </c>
      <c r="Q86" s="70">
        <f>O86</f>
        <v>34.505940311920931</v>
      </c>
      <c r="R86" s="135">
        <f>M86*$R$92</f>
        <v>13893.516708163253</v>
      </c>
      <c r="S86" s="5">
        <v>0</v>
      </c>
      <c r="T86" s="76">
        <f>IF(INDEX('Res Measure Mapping'!$T:$T,MATCH($D86,'Res Measure Mapping'!$B:$B,0))="N/A",S86,INDEX('Res Measure Mapping'!$T:$T,MATCH($D86,'Res Measure Mapping'!$B:$B,0)))</f>
        <v>264.41000000000003</v>
      </c>
      <c r="U86" s="5">
        <f>T86</f>
        <v>264.41000000000003</v>
      </c>
      <c r="V86" s="5">
        <f>IF($B$2="Original",PV($F$96,$Y86,(-0.05*0.95*$N86)),PV($F$96,$AA86,(-0.05*0.95*$Q86)))</f>
        <v>7.4213213587211149</v>
      </c>
      <c r="W86" s="5">
        <f>IF($B$2="Original",IF(ISNUMBER(S86),S86*L86,""),IF(ISNUMBER(U86),U86*L86,""))</f>
        <v>106462.38646440582</v>
      </c>
      <c r="X86" s="6">
        <f>W86-L86*(V86)</f>
        <v>103474.25597551085</v>
      </c>
      <c r="Y86" s="4">
        <v>0</v>
      </c>
      <c r="Z86" s="70">
        <f>IF(INDEX('Res Measure Mapping'!$U:$U,MATCH($D86,'Res Measure Mapping'!$B:$B,0))="N/A",Y86,INDEX('Res Measure Mapping'!$U:$U,MATCH($D86,'Res Measure Mapping'!$B:$B,0)))</f>
        <v>5</v>
      </c>
      <c r="AA86" s="4">
        <f>Z86</f>
        <v>5</v>
      </c>
      <c r="AB86" s="4">
        <f>IF($B$2="Original",PV($F$96,$Y86,-$R86),PV($F$96,$AA86,-$R86))</f>
        <v>62908.010292525483</v>
      </c>
      <c r="AC86" s="4">
        <f>IF($B$2="Original",PV($F$96,$Y86,-$R86),PV($F$96,$AA86,-$R86))</f>
        <v>62908.010292525483</v>
      </c>
      <c r="AD86" s="7">
        <f>(R86/$R$92)*$AD$92</f>
        <v>41844.858966045438</v>
      </c>
      <c r="AE86" s="5">
        <v>0</v>
      </c>
      <c r="AF86" s="76">
        <f>ROUND(IF(INDEX('Res Measure Mapping'!$V:$V,MATCH($D86,'Res Measure Mapping'!$B:$B,0))="N/A",AE86,INDEX('Res Measure Mapping'!$V:$V,MATCH($D86,'Res Measure Mapping'!$B:$B,0))),0)</f>
        <v>25</v>
      </c>
      <c r="AG86" s="70" t="str">
        <f>INDEX('Res Measure Mapping'!$S:$S,MATCH($D86,'Res Measure Mapping'!$B:$B,0))</f>
        <v>household</v>
      </c>
      <c r="AH86" s="5">
        <v>75</v>
      </c>
      <c r="AI86" s="5">
        <f>IF($B$2="Original",IF(ISNUMBER(AE86),AE86*L86,""),IF(ISNUMBER(AH86),AH86*L86,""))</f>
        <v>30198.09759400339</v>
      </c>
      <c r="AJ86" s="8">
        <f>IF(ISERROR(AI86/AC86),0,AI86/AC86)</f>
        <v>0.48003580869241741</v>
      </c>
      <c r="AK86" s="8">
        <f>IF(ISERROR((AD86+AI86)/AC86),0,(AD86+AI86)/AC86)</f>
        <v>1.1452111777982705</v>
      </c>
      <c r="AL86" s="81">
        <f>IF($B$2="Original",IF($AI86=0,"-",(VLOOKUP(Y86,'APP 2885'!$B$10:$G$54,6)*$R86)/($AI86+$AD86)),IF($AI86=0,"-",(VLOOKUP(AA86,'APP 2885'!$B$10:$G$54,6)*$R86)/($AI86+$AD86)))</f>
        <v>0.90340818704672254</v>
      </c>
      <c r="AM86" s="9">
        <f>IF(ISERROR(RU86/AB86),0,X86/AB86)</f>
        <v>1.6448502423514946</v>
      </c>
      <c r="AN86" s="10">
        <f>IF(ISERROR(X86/AB86),0,(X86+AD86)/AB86)</f>
        <v>2.3100256114573474</v>
      </c>
      <c r="AO86" s="107">
        <f>IF($B$2="Original",IF($AI86=0,"-",(VLOOKUP(Y86,'APP 2885'!$B$10:$G$54,4)*$R86)/($X86+$AD86)),IF($AI86=0,"-",(VLOOKUP(AA86,'APP 2885'!$B$10:$G$54,4)*$R86)/($X86+$AD86)))</f>
        <v>0.40715532597205267</v>
      </c>
    </row>
    <row r="87" spans="2:41" ht="20.100000000000001" customHeight="1" thickBot="1" x14ac:dyDescent="0.3">
      <c r="C87" s="119">
        <v>17</v>
      </c>
      <c r="D87" s="55" t="str">
        <f>E87&amp;"_"&amp;F87&amp;"_"&amp;G87</f>
        <v>Smart Thermostat_Zone 3_Energy Star Smart Thermostat</v>
      </c>
      <c r="E87" s="11" t="s">
        <v>206</v>
      </c>
      <c r="F87" s="11" t="s">
        <v>24</v>
      </c>
      <c r="G87" s="11" t="s">
        <v>207</v>
      </c>
      <c r="H87" s="11" t="str">
        <f>G87</f>
        <v>Energy Star Smart Thermostat</v>
      </c>
      <c r="I87" s="12">
        <v>400</v>
      </c>
      <c r="J87" s="12">
        <f>I87</f>
        <v>400</v>
      </c>
      <c r="K87" s="12"/>
      <c r="L87" s="12">
        <f>(R87/Q87)</f>
        <v>657.28475039638329</v>
      </c>
      <c r="M87" s="132">
        <v>4.650011229572773E-2</v>
      </c>
      <c r="N87" s="71">
        <v>0</v>
      </c>
      <c r="O87" s="73">
        <f>IF(INDEX('Res Measure Mapping'!$R:$R,MATCH($D87,'Res Measure Mapping'!$B:$B,0))="N/A",N87,INDEX('Res Measure Mapping'!$R:$R,MATCH($D87,'Res Measure Mapping'!$B:$B,0)))</f>
        <v>30.365001906327521</v>
      </c>
      <c r="P87" s="73" t="str">
        <f>INDEX('Res Measure Mapping'!$S:$S,MATCH($D87,'Res Measure Mapping'!$B:$B,0))</f>
        <v>household</v>
      </c>
      <c r="Q87" s="71">
        <f>O87</f>
        <v>30.365001906327521</v>
      </c>
      <c r="R87" s="136">
        <f>M87*$R$92</f>
        <v>19958.452698786186</v>
      </c>
      <c r="S87" s="13">
        <v>0</v>
      </c>
      <c r="T87" s="77">
        <f>IF(INDEX('Res Measure Mapping'!$T:$T,MATCH($D87,'Res Measure Mapping'!$B:$B,0))="N/A",S87,INDEX('Res Measure Mapping'!$T:$T,MATCH($D87,'Res Measure Mapping'!$B:$B,0)))</f>
        <v>264.41000000000003</v>
      </c>
      <c r="U87" s="13">
        <f>T87</f>
        <v>264.41000000000003</v>
      </c>
      <c r="V87" s="13">
        <f>IF($B$2="Original",PV($F$96,$Y87,(-0.05*0.95*$N87)),PV($F$96,$AA87,(-0.05*0.95*$Q87)))</f>
        <v>6.5307142818879678</v>
      </c>
      <c r="W87" s="13">
        <f>IF($B$2="Original",IF(ISNUMBER(S87),S87*L87,""),IF(ISNUMBER(U87),U87*L87,""))</f>
        <v>173792.66085230772</v>
      </c>
      <c r="X87" s="14">
        <f>W87-L87*(V87)</f>
        <v>169500.12194562689</v>
      </c>
      <c r="Y87" s="12">
        <v>0</v>
      </c>
      <c r="Z87" s="73">
        <f>IF(INDEX('Res Measure Mapping'!$U:$U,MATCH($D87,'Res Measure Mapping'!$B:$B,0))="N/A",Y87,INDEX('Res Measure Mapping'!$U:$U,MATCH($D87,'Res Measure Mapping'!$B:$B,0)))</f>
        <v>5</v>
      </c>
      <c r="AA87" s="12">
        <f>Z87</f>
        <v>5</v>
      </c>
      <c r="AB87" s="12">
        <f>IF($B$2="Original",PV($F$96,$Y87,-$R87),PV($F$96,$AA87,-$R87))</f>
        <v>90369.24014064901</v>
      </c>
      <c r="AC87" s="12">
        <f>IF($B$2="Original",PV($F$96,$Y87,-$R87),PV($F$96,$AA87,-$R87))</f>
        <v>90369.24014064901</v>
      </c>
      <c r="AD87" s="15">
        <f>(R87/$R$92)*$AD$92</f>
        <v>60111.39266637167</v>
      </c>
      <c r="AE87" s="13">
        <v>0</v>
      </c>
      <c r="AF87" s="77">
        <f>ROUND(IF(INDEX('Res Measure Mapping'!$V:$V,MATCH($D87,'Res Measure Mapping'!$B:$B,0))="N/A",AE87,INDEX('Res Measure Mapping'!$V:$V,MATCH($D87,'Res Measure Mapping'!$B:$B,0))),0)</f>
        <v>25</v>
      </c>
      <c r="AG87" s="73" t="str">
        <f>INDEX('Res Measure Mapping'!$S:$S,MATCH($D87,'Res Measure Mapping'!$B:$B,0))</f>
        <v>household</v>
      </c>
      <c r="AH87" s="13">
        <v>75</v>
      </c>
      <c r="AI87" s="13">
        <f>IF($B$2="Original",IF(ISNUMBER(AE87),AE87*L87,""),IF(ISNUMBER(AH87),AH87*L87,""))</f>
        <v>49296.356279728745</v>
      </c>
      <c r="AJ87" s="16">
        <f>IF(ISERROR(AI87/AC87),0,AI87/AC87)</f>
        <v>0.54549928939321402</v>
      </c>
      <c r="AK87" s="16">
        <f>IF(ISERROR((AD87+AI87)/AC87),0,(AD87+AI87)/AC87)</f>
        <v>1.2106746584990671</v>
      </c>
      <c r="AL87" s="82">
        <f>IF($B$2="Original",IF($AI87=0,"-",(VLOOKUP(Y87,'APP 2885'!$B$10:$G$54,6)*$R87)/($AI87+$AD87)),IF($AI87=0,"-",(VLOOKUP(AA87,'APP 2885'!$B$10:$G$54,6)*$R87)/($AI87+$AD87)))</f>
        <v>0.85455918867833036</v>
      </c>
      <c r="AM87" s="17">
        <f>IF(ISERROR(RU87/AB87),0,X87/AB87)</f>
        <v>1.8756395614461296</v>
      </c>
      <c r="AN87" s="18">
        <f>IF(ISERROR(X87/AB87),0,(X87+AD87)/AB87)</f>
        <v>2.5408149305519827</v>
      </c>
      <c r="AO87" s="108">
        <f>IF($B$2="Original",IF($AI87=0,"-",(VLOOKUP(Y87,'APP 2885'!$B$10:$G$54,4)*$R87)/($X87+$AD87)),IF($AI87=0,"-",(VLOOKUP(AA87,'APP 2885'!$B$10:$G$54,4)*$R87)/($X87+$AD87)))</f>
        <v>0.37017227013554188</v>
      </c>
    </row>
    <row r="88" spans="2:41" ht="20.100000000000001" customHeight="1" thickBot="1" x14ac:dyDescent="0.3">
      <c r="C88" s="119">
        <v>20</v>
      </c>
      <c r="D88" s="55" t="str">
        <f>E88&amp;"_"&amp;F88&amp;"_"&amp;G88</f>
        <v>Clothes Washer_Zone 1_ENERGY STAR Clothes Washers</v>
      </c>
      <c r="E88" s="3" t="s">
        <v>210</v>
      </c>
      <c r="F88" s="3" t="s">
        <v>21</v>
      </c>
      <c r="G88" s="3" t="s">
        <v>211</v>
      </c>
      <c r="H88" s="3" t="str">
        <f>G88</f>
        <v>ENERGY STAR Clothes Washers</v>
      </c>
      <c r="I88" s="4">
        <v>8</v>
      </c>
      <c r="J88" s="4">
        <f>I88</f>
        <v>8</v>
      </c>
      <c r="K88" s="4"/>
      <c r="L88" s="4">
        <f>(R88/Q88)</f>
        <v>1196.8481191916396</v>
      </c>
      <c r="M88" s="131">
        <v>2.1551425300935543E-2</v>
      </c>
      <c r="N88" s="70">
        <v>0</v>
      </c>
      <c r="O88" s="70">
        <f>IF(INDEX('Res Measure Mapping'!$R:$R,MATCH($D88,'Res Measure Mapping'!$B:$B,0))="N/A",N88,INDEX('Res Measure Mapping'!$R:$R,MATCH($D88,'Res Measure Mapping'!$B:$B,0)))</f>
        <v>7.7287600317558018</v>
      </c>
      <c r="P88" s="70" t="str">
        <f>INDEX('Res Measure Mapping'!$S:$S,MATCH($D88,'Res Measure Mapping'!$B:$B,0))</f>
        <v>household</v>
      </c>
      <c r="Q88" s="70">
        <f>O88</f>
        <v>7.7287600317558018</v>
      </c>
      <c r="R88" s="135">
        <f>M88*$R$92</f>
        <v>9250.1519076904478</v>
      </c>
      <c r="S88" s="5">
        <v>0</v>
      </c>
      <c r="T88" s="76">
        <f>IF(INDEX('Res Measure Mapping'!$T:$T,MATCH($D88,'Res Measure Mapping'!$B:$B,0))="N/A",S88,INDEX('Res Measure Mapping'!$T:$T,MATCH($D88,'Res Measure Mapping'!$B:$B,0)))</f>
        <v>61.41</v>
      </c>
      <c r="U88" s="5">
        <f>T88</f>
        <v>61.41</v>
      </c>
      <c r="V88" s="5">
        <f>IF($B$2="Original",PV($F$96,$Y88,(-0.05*0.95*$N88)),PV($F$96,$AA88,(-0.05*0.95*$Q88)))</f>
        <v>4.0811894249042044</v>
      </c>
      <c r="W88" s="5">
        <f>IF($B$2="Original",IF(ISNUMBER(S88),S88*L88,""),IF(ISNUMBER(U88),U88*L88,""))</f>
        <v>73498.442999558582</v>
      </c>
      <c r="X88" s="6">
        <f>W88-L88*(V88)</f>
        <v>68613.879112297174</v>
      </c>
      <c r="Y88" s="4">
        <v>0</v>
      </c>
      <c r="Z88" s="70">
        <f>IF(INDEX('Res Measure Mapping'!$U:$U,MATCH($D88,'Res Measure Mapping'!$B:$B,0))="N/A",Y88,INDEX('Res Measure Mapping'!$U:$U,MATCH($D88,'Res Measure Mapping'!$B:$B,0)))</f>
        <v>14.199999999999998</v>
      </c>
      <c r="AA88" s="4">
        <f>Z88</f>
        <v>14.199999999999998</v>
      </c>
      <c r="AB88" s="4">
        <f>IF($B$2="Original",PV($F$96,$Y88,-$R88),PV($F$96,$AA88,-$R88))</f>
        <v>102832.92394234541</v>
      </c>
      <c r="AC88" s="4">
        <f>IF($B$2="Original",PV($F$96,$Y88,-$R88),PV($F$96,$AA88,-$R88))</f>
        <v>102832.92394234541</v>
      </c>
      <c r="AD88" s="7">
        <f>(R88/$R$92)*$AD$92</f>
        <v>27859.85075789889</v>
      </c>
      <c r="AE88" s="5">
        <v>0</v>
      </c>
      <c r="AF88" s="76">
        <f>ROUND(IF(INDEX('Res Measure Mapping'!$V:$V,MATCH($D88,'Res Measure Mapping'!$B:$B,0))="N/A",AE88,INDEX('Res Measure Mapping'!$V:$V,MATCH($D88,'Res Measure Mapping'!$B:$B,0))),0)</f>
        <v>37</v>
      </c>
      <c r="AG88" s="70" t="str">
        <f>INDEX('Res Measure Mapping'!$S:$S,MATCH($D88,'Res Measure Mapping'!$B:$B,0))</f>
        <v>household</v>
      </c>
      <c r="AH88" s="5">
        <v>50</v>
      </c>
      <c r="AI88" s="5">
        <f>IF($B$2="Original",IF(ISNUMBER(AE88),AE88*L88,""),IF(ISNUMBER(AH88),AH88*L88,""))</f>
        <v>59842.405959581978</v>
      </c>
      <c r="AJ88" s="8">
        <f>IF(ISERROR(AI88/AC88),0,AI88/AC88)</f>
        <v>0.58193819319125251</v>
      </c>
      <c r="AK88" s="8">
        <f>IF(ISERROR((AD88+AI88)/AC88),0,(AD88+AI88)/AC88)</f>
        <v>0.85286164542644194</v>
      </c>
      <c r="AL88" s="81">
        <f>IF($B$2="Original",IF($AI88=0,"-",(VLOOKUP(Y88,'APP 2885'!$B$10:$G$54,6)*$R88)/($AI88+$AD88)),IF($AI88=0,"-",(VLOOKUP(AA88,'APP 2885'!$B$10:$G$54,6)*$R88)/($AI88+$AD88)))</f>
        <v>1.4863752158780916</v>
      </c>
      <c r="AM88" s="9">
        <f>IF(ISERROR(RU88/AB88),0,X88/AB88)</f>
        <v>0.66723648887749631</v>
      </c>
      <c r="AN88" s="10">
        <f>IF(ISERROR(X88/AB88),0,(X88+AD88)/AB88)</f>
        <v>0.93815994111268575</v>
      </c>
      <c r="AO88" s="107">
        <f>IF($B$2="Original",IF($AI88=0,"-",(VLOOKUP(Y88,'APP 2885'!$B$10:$G$54,4)*$R88)/($X88+$AD88)),IF($AI88=0,"-",(VLOOKUP(AA88,'APP 2885'!$B$10:$G$54,4)*$R88)/($X88+$AD88)))</f>
        <v>1.2283933850257542</v>
      </c>
    </row>
    <row r="89" spans="2:41" ht="20.100000000000001" customHeight="1" thickBot="1" x14ac:dyDescent="0.3">
      <c r="C89" s="119">
        <v>20</v>
      </c>
      <c r="D89" s="55" t="str">
        <f>E89&amp;"_"&amp;F89&amp;"_"&amp;G89</f>
        <v>Clothes Washer_Zone 2_ENERGY STAR Clothes Washers</v>
      </c>
      <c r="E89" s="11" t="s">
        <v>210</v>
      </c>
      <c r="F89" s="11" t="s">
        <v>23</v>
      </c>
      <c r="G89" s="11" t="s">
        <v>211</v>
      </c>
      <c r="H89" s="11" t="str">
        <f>G89</f>
        <v>ENERGY STAR Clothes Washers</v>
      </c>
      <c r="I89" s="12">
        <v>6</v>
      </c>
      <c r="J89" s="12">
        <f>I89</f>
        <v>6</v>
      </c>
      <c r="K89" s="12"/>
      <c r="L89" s="12">
        <f>(R89/Q89)</f>
        <v>579.76170729091018</v>
      </c>
      <c r="M89" s="132">
        <v>1.0439663083952474E-2</v>
      </c>
      <c r="N89" s="71">
        <v>0</v>
      </c>
      <c r="O89" s="73">
        <f>IF(INDEX('Res Measure Mapping'!$R:$R,MATCH($D89,'Res Measure Mapping'!$B:$B,0))="N/A",N89,INDEX('Res Measure Mapping'!$R:$R,MATCH($D89,'Res Measure Mapping'!$B:$B,0)))</f>
        <v>7.7287600317558018</v>
      </c>
      <c r="P89" s="73" t="str">
        <f>INDEX('Res Measure Mapping'!$S:$S,MATCH($D89,'Res Measure Mapping'!$B:$B,0))</f>
        <v>household</v>
      </c>
      <c r="Q89" s="71">
        <f>O89</f>
        <v>7.7287600317558018</v>
      </c>
      <c r="R89" s="136">
        <f>M89*$R$92</f>
        <v>4480.8391112524932</v>
      </c>
      <c r="S89" s="13">
        <v>0</v>
      </c>
      <c r="T89" s="77">
        <f>IF(INDEX('Res Measure Mapping'!$T:$T,MATCH($D89,'Res Measure Mapping'!$B:$B,0))="N/A",S89,INDEX('Res Measure Mapping'!$T:$T,MATCH($D89,'Res Measure Mapping'!$B:$B,0)))</f>
        <v>61.41</v>
      </c>
      <c r="U89" s="13">
        <f>T89</f>
        <v>61.41</v>
      </c>
      <c r="V89" s="13">
        <f>IF($B$2="Original",PV($F$96,$Y89,(-0.05*0.95*$N89)),PV($F$96,$AA89,(-0.05*0.95*$Q89)))</f>
        <v>4.0811894249042044</v>
      </c>
      <c r="W89" s="13">
        <f>IF($B$2="Original",IF(ISNUMBER(S89),S89*L89,""),IF(ISNUMBER(U89),U89*L89,""))</f>
        <v>35603.166444734794</v>
      </c>
      <c r="X89" s="14">
        <f>W89-L89*(V89)</f>
        <v>33237.049095974726</v>
      </c>
      <c r="Y89" s="12">
        <v>0</v>
      </c>
      <c r="Z89" s="73">
        <f>IF(INDEX('Res Measure Mapping'!$U:$U,MATCH($D89,'Res Measure Mapping'!$B:$B,0))="N/A",Y89,INDEX('Res Measure Mapping'!$U:$U,MATCH($D89,'Res Measure Mapping'!$B:$B,0)))</f>
        <v>14.199999999999998</v>
      </c>
      <c r="AA89" s="12">
        <f>Z89</f>
        <v>14.199999999999998</v>
      </c>
      <c r="AB89" s="12">
        <f>IF($B$2="Original",PV($F$96,$Y89,-$R89),PV($F$96,$AA89,-$R89))</f>
        <v>49812.996816001476</v>
      </c>
      <c r="AC89" s="12">
        <f>IF($B$2="Original",PV($F$96,$Y89,-$R89),PV($F$96,$AA89,-$R89))</f>
        <v>49812.996816001476</v>
      </c>
      <c r="AD89" s="15">
        <f>(R89/$R$92)*$AD$92</f>
        <v>13495.509063571622</v>
      </c>
      <c r="AE89" s="13">
        <v>0</v>
      </c>
      <c r="AF89" s="77">
        <f>ROUND(IF(INDEX('Res Measure Mapping'!$V:$V,MATCH($D89,'Res Measure Mapping'!$B:$B,0))="N/A",AE89,INDEX('Res Measure Mapping'!$V:$V,MATCH($D89,'Res Measure Mapping'!$B:$B,0))),0)</f>
        <v>37</v>
      </c>
      <c r="AG89" s="73" t="str">
        <f>INDEX('Res Measure Mapping'!$S:$S,MATCH($D89,'Res Measure Mapping'!$B:$B,0))</f>
        <v>household</v>
      </c>
      <c r="AH89" s="13">
        <v>50</v>
      </c>
      <c r="AI89" s="13">
        <f>IF($B$2="Original",IF(ISNUMBER(AE89),AE89*L89,""),IF(ISNUMBER(AH89),AH89*L89,""))</f>
        <v>28988.08536454551</v>
      </c>
      <c r="AJ89" s="16">
        <f>IF(ISERROR(AI89/AC89),0,AI89/AC89)</f>
        <v>0.5819381931912524</v>
      </c>
      <c r="AK89" s="16">
        <f>IF(ISERROR((AD89+AI89)/AC89),0,(AD89+AI89)/AC89)</f>
        <v>0.85286164542644194</v>
      </c>
      <c r="AL89" s="82">
        <f>IF($B$2="Original",IF($AI89=0,"-",(VLOOKUP(Y89,'APP 2885'!$B$10:$G$54,6)*$R89)/($AI89+$AD89)),IF($AI89=0,"-",(VLOOKUP(AA89,'APP 2885'!$B$10:$G$54,6)*$R89)/($AI89+$AD89)))</f>
        <v>1.4863752158780916</v>
      </c>
      <c r="AM89" s="17">
        <f>IF(ISERROR(RU89/AB89),0,X89/AB89)</f>
        <v>0.66723648887749631</v>
      </c>
      <c r="AN89" s="18">
        <f>IF(ISERROR(X89/AB89),0,(X89+AD89)/AB89)</f>
        <v>0.93815994111268575</v>
      </c>
      <c r="AO89" s="108">
        <f>IF($B$2="Original",IF($AI89=0,"-",(VLOOKUP(Y89,'APP 2885'!$B$10:$G$54,4)*$R89)/($X89+$AD89)),IF($AI89=0,"-",(VLOOKUP(AA89,'APP 2885'!$B$10:$G$54,4)*$R89)/($X89+$AD89)))</f>
        <v>1.2283933850257545</v>
      </c>
    </row>
    <row r="90" spans="2:41" ht="20.100000000000001" customHeight="1" thickBot="1" x14ac:dyDescent="0.3">
      <c r="C90" s="119">
        <v>20</v>
      </c>
      <c r="D90" s="55" t="str">
        <f>E90&amp;"_"&amp;F90&amp;"_"&amp;G90</f>
        <v>Clothes Washer_Zone 3_ENERGY STAR Clothes Washers</v>
      </c>
      <c r="E90" s="3" t="s">
        <v>210</v>
      </c>
      <c r="F90" s="3" t="s">
        <v>24</v>
      </c>
      <c r="G90" s="3" t="s">
        <v>211</v>
      </c>
      <c r="H90" s="3" t="str">
        <f>G90</f>
        <v>ENERGY STAR Clothes Washers</v>
      </c>
      <c r="I90" s="4">
        <v>10</v>
      </c>
      <c r="J90" s="4">
        <f>I90</f>
        <v>10</v>
      </c>
      <c r="K90" s="4"/>
      <c r="L90" s="4">
        <f>(R90/Q90)</f>
        <v>786.7256169704068</v>
      </c>
      <c r="M90" s="131">
        <v>1.4166424372978693E-2</v>
      </c>
      <c r="N90" s="70">
        <v>0</v>
      </c>
      <c r="O90" s="70">
        <f>IF(INDEX('Res Measure Mapping'!$R:$R,MATCH($D90,'Res Measure Mapping'!$B:$B,0))="N/A",N90,INDEX('Res Measure Mapping'!$R:$R,MATCH($D90,'Res Measure Mapping'!$B:$B,0)))</f>
        <v>7.7287600317558018</v>
      </c>
      <c r="P90" s="70" t="str">
        <f>INDEX('Res Measure Mapping'!$S:$S,MATCH($D90,'Res Measure Mapping'!$B:$B,0))</f>
        <v>household</v>
      </c>
      <c r="Q90" s="70">
        <f>O90</f>
        <v>7.7287600317558018</v>
      </c>
      <c r="R90" s="135">
        <f>M90*$R$92</f>
        <v>6080.4135043993037</v>
      </c>
      <c r="S90" s="5">
        <v>0</v>
      </c>
      <c r="T90" s="76">
        <f>IF(INDEX('Res Measure Mapping'!$T:$T,MATCH($D90,'Res Measure Mapping'!$B:$B,0))="N/A",S90,INDEX('Res Measure Mapping'!$T:$T,MATCH($D90,'Res Measure Mapping'!$B:$B,0)))</f>
        <v>61.41</v>
      </c>
      <c r="U90" s="5">
        <f>T90</f>
        <v>61.41</v>
      </c>
      <c r="V90" s="5">
        <f>IF($B$2="Original",PV($F$96,$Y90,(-0.05*0.95*$N90)),PV($F$96,$AA90,(-0.05*0.95*$Q90)))</f>
        <v>4.0811894249042044</v>
      </c>
      <c r="W90" s="5">
        <f>IF($B$2="Original",IF(ISNUMBER(S90),S90*L90,""),IF(ISNUMBER(U90),U90*L90,""))</f>
        <v>48312.820138152681</v>
      </c>
      <c r="X90" s="6">
        <f>W90-L90*(V90)</f>
        <v>45102.043869871821</v>
      </c>
      <c r="Y90" s="4">
        <v>0</v>
      </c>
      <c r="Z90" s="70">
        <f>IF(INDEX('Res Measure Mapping'!$U:$U,MATCH($D90,'Res Measure Mapping'!$B:$B,0))="N/A",Y90,INDEX('Res Measure Mapping'!$U:$U,MATCH($D90,'Res Measure Mapping'!$B:$B,0)))</f>
        <v>14.199999999999998</v>
      </c>
      <c r="AA90" s="4">
        <f>Z90</f>
        <v>14.199999999999998</v>
      </c>
      <c r="AB90" s="4">
        <f>IF($B$2="Original",PV($F$96,$Y90,-$R90),PV($F$96,$AA90,-$R90))</f>
        <v>67595.28985854442</v>
      </c>
      <c r="AC90" s="4">
        <f>IF($B$2="Original",PV($F$96,$Y90,-$R90),PV($F$96,$AA90,-$R90))</f>
        <v>67595.28985854442</v>
      </c>
      <c r="AD90" s="7">
        <f>(R90/$R$92)*$AD$92</f>
        <v>18313.149283315153</v>
      </c>
      <c r="AE90" s="5">
        <v>0</v>
      </c>
      <c r="AF90" s="76">
        <f>ROUND(IF(INDEX('Res Measure Mapping'!$V:$V,MATCH($D90,'Res Measure Mapping'!$B:$B,0))="N/A",AE90,INDEX('Res Measure Mapping'!$V:$V,MATCH($D90,'Res Measure Mapping'!$B:$B,0))),0)</f>
        <v>37</v>
      </c>
      <c r="AG90" s="70" t="str">
        <f>INDEX('Res Measure Mapping'!$S:$S,MATCH($D90,'Res Measure Mapping'!$B:$B,0))</f>
        <v>household</v>
      </c>
      <c r="AH90" s="5">
        <v>50</v>
      </c>
      <c r="AI90" s="5">
        <f>IF($B$2="Original",IF(ISNUMBER(AE90),AE90*L90,""),IF(ISNUMBER(AH90),AH90*L90,""))</f>
        <v>39336.280848520342</v>
      </c>
      <c r="AJ90" s="8">
        <f>IF(ISERROR(AI90/AC90),0,AI90/AC90)</f>
        <v>0.58193819319125262</v>
      </c>
      <c r="AK90" s="8">
        <f>IF(ISERROR((AD90+AI90)/AC90),0,(AD90+AI90)/AC90)</f>
        <v>0.85286164542644227</v>
      </c>
      <c r="AL90" s="81">
        <f>IF($B$2="Original",IF($AI90=0,"-",(VLOOKUP(Y90,'APP 2885'!$B$10:$G$54,6)*$R90)/($AI90+$AD90)),IF($AI90=0,"-",(VLOOKUP(AA90,'APP 2885'!$B$10:$G$54,6)*$R90)/($AI90+$AD90)))</f>
        <v>1.4863752158780912</v>
      </c>
      <c r="AM90" s="9">
        <f>IF(ISERROR(RU90/AB90),0,X90/AB90)</f>
        <v>0.66723648887749643</v>
      </c>
      <c r="AN90" s="10">
        <f>IF(ISERROR(X90/AB90),0,(X90+AD90)/AB90)</f>
        <v>0.93815994111268608</v>
      </c>
      <c r="AO90" s="107">
        <f>IF($B$2="Original",IF($AI90=0,"-",(VLOOKUP(Y90,'APP 2885'!$B$10:$G$54,4)*$R90)/($X90+$AD90)),IF($AI90=0,"-",(VLOOKUP(AA90,'APP 2885'!$B$10:$G$54,4)*$R90)/($X90+$AD90)))</f>
        <v>1.2283933850257542</v>
      </c>
    </row>
    <row r="91" spans="2:41" s="78" customFormat="1" ht="20.100000000000001" customHeight="1" thickBot="1" x14ac:dyDescent="0.3">
      <c r="B91"/>
      <c r="C91" s="119">
        <v>23</v>
      </c>
      <c r="D91" s="55" t="str">
        <f>E91&amp;"_"&amp;F91&amp;"_"&amp;G91</f>
        <v>Prescriptive Air Sealing W/Insulation Install_Zone 1_BPA Weatherization Specifications section 4.4 or 6.2</v>
      </c>
      <c r="E91" s="11" t="s">
        <v>322</v>
      </c>
      <c r="F91" s="11" t="s">
        <v>21</v>
      </c>
      <c r="G91" s="11" t="s">
        <v>321</v>
      </c>
      <c r="H91" s="11" t="str">
        <f>G91</f>
        <v>BPA Weatherization Specifications section 4.4 or 6.2</v>
      </c>
      <c r="I91" s="12">
        <v>1</v>
      </c>
      <c r="J91" s="12">
        <v>1</v>
      </c>
      <c r="K91" s="12"/>
      <c r="L91" s="12">
        <f>(R91/Q91)</f>
        <v>44.436169411764709</v>
      </c>
      <c r="M91" s="132">
        <v>6.6E-3</v>
      </c>
      <c r="N91" s="71" t="s">
        <v>320</v>
      </c>
      <c r="O91" s="73"/>
      <c r="P91" s="73" t="s">
        <v>178</v>
      </c>
      <c r="Q91" s="71">
        <f>Q71*0.85</f>
        <v>63.75</v>
      </c>
      <c r="R91" s="136">
        <f>M91*$R$92</f>
        <v>2832.8058000000001</v>
      </c>
      <c r="S91" s="13">
        <f>S71-400</f>
        <v>350</v>
      </c>
      <c r="T91" s="77" t="s">
        <v>125</v>
      </c>
      <c r="U91" s="13">
        <v>350</v>
      </c>
      <c r="V91" s="13">
        <f>V71*0.85</f>
        <v>35.125498362626836</v>
      </c>
      <c r="W91" s="13">
        <f>IF($B$2="Original",IF(ISNUMBER(S91),S91*L91,""),IF(ISNUMBER(U91),U91*L91,""))</f>
        <v>15552.659294117648</v>
      </c>
      <c r="X91" s="14">
        <f>W91-L91*(V91)</f>
        <v>13991.816698203298</v>
      </c>
      <c r="Y91" s="12" t="s">
        <v>320</v>
      </c>
      <c r="Z91" s="73" t="s">
        <v>320</v>
      </c>
      <c r="AA91" s="12">
        <v>15</v>
      </c>
      <c r="AB91" s="12">
        <f>IF($B$2="Original",PV($F$96,$Y91,-$R91),PV($F$96,$AA91,-$R91))</f>
        <v>32859.844124512623</v>
      </c>
      <c r="AC91" s="12">
        <f>IF($B$2="Original",PV($F$96,$Y91,-$R91),PV($F$96,$AA91,-$R91))</f>
        <v>32859.844124512623</v>
      </c>
      <c r="AD91" s="15">
        <f>(R91/$R$92)*$AD$92</f>
        <v>8531.9189999999999</v>
      </c>
      <c r="AE91" s="13" t="s">
        <v>125</v>
      </c>
      <c r="AF91" s="77" t="s">
        <v>125</v>
      </c>
      <c r="AG91" s="73" t="s">
        <v>178</v>
      </c>
      <c r="AH91" s="13">
        <v>150</v>
      </c>
      <c r="AI91" s="13">
        <f>IF($B$2="Original",IF(ISNUMBER(AE91),AE91*L91,""),IF(ISNUMBER(AH91),AH91*L91,""))</f>
        <v>6665.425411764706</v>
      </c>
      <c r="AJ91" s="16">
        <f>IF(ISERROR(AI91/AC91),0,AI91/AC91)</f>
        <v>0.20284409708421183</v>
      </c>
      <c r="AK91" s="16">
        <f>IF(ISERROR((AD91+AI91)/AC91),0,(AD91+AI91)/AC91)</f>
        <v>0.46248985096152251</v>
      </c>
      <c r="AL91" s="82">
        <f>IF($B$2="Original",IF($AI91=0,"-",(VLOOKUP(Y91,'APP 2885'!$B$10:$G$54,6)*$R91)/($AI91+$AD91)),IF($AI91=0,"-",(VLOOKUP(AA91,'APP 2885'!$B$10:$G$54,6)*$R91)/($AI91+$AD91)))</f>
        <v>2.8358986366351631</v>
      </c>
      <c r="AM91" s="17">
        <f>IF(ISERROR(RU91/AB91),0,X91/AB91)</f>
        <v>0.42580289319649428</v>
      </c>
      <c r="AN91" s="18">
        <f>IF(ISERROR(X91/AB91),0,(X91+AD91)/AB91)</f>
        <v>0.68544864707380504</v>
      </c>
      <c r="AO91" s="108">
        <f>IF($B$2="Original",IF($AI91=0,"-",(VLOOKUP(Y91,'APP 2885'!$B$10:$G$54,4)*$R91)/($X91+$AD91)),IF($AI91=0,"-",(VLOOKUP(AA91,'APP 2885'!$B$10:$G$54,4)*$R91)/($X91+$AD91)))</f>
        <v>1.7395034802103309</v>
      </c>
    </row>
    <row r="92" spans="2:41" ht="30" customHeight="1" thickBot="1" x14ac:dyDescent="0.3">
      <c r="E92" s="19" t="s">
        <v>65</v>
      </c>
      <c r="F92" s="20" t="s">
        <v>66</v>
      </c>
      <c r="G92" s="20" t="s">
        <v>66</v>
      </c>
      <c r="H92" s="20"/>
      <c r="I92" s="21">
        <v>3970</v>
      </c>
      <c r="J92" s="22">
        <f>SUM(J8:J74)</f>
        <v>6767</v>
      </c>
      <c r="K92" s="22"/>
      <c r="L92" s="22"/>
      <c r="M92" s="22"/>
      <c r="N92" s="20" t="s">
        <v>66</v>
      </c>
      <c r="O92" s="20"/>
      <c r="P92" s="20"/>
      <c r="Q92" s="20"/>
      <c r="R92" s="23">
        <v>429213</v>
      </c>
      <c r="S92" s="24">
        <f>IF($B$2="Original",SUM(S8:S91),SUM(U8:U91))</f>
        <v>49264.170000000006</v>
      </c>
      <c r="T92" s="24"/>
      <c r="U92" s="24"/>
      <c r="V92" s="24">
        <f>SUM(V8:V91)</f>
        <v>2431.4756282774224</v>
      </c>
      <c r="W92" s="24">
        <f>SUM(W8:W91)</f>
        <v>6596371.6380597148</v>
      </c>
      <c r="X92" s="24">
        <f>SUM(X8:X91)</f>
        <v>6304320.0278209867</v>
      </c>
      <c r="Y92" s="22">
        <f>IF($B$2="Original",SUMPRODUCT(Y8:Y91,R8:R91)/SUM(R8:R91),SUMPRODUCT(AA8:AA91,R8:R91)/SUM(R8:R91))</f>
        <v>22.412202263550679</v>
      </c>
      <c r="Z92" s="22"/>
      <c r="AA92" s="22"/>
      <c r="AB92" s="25">
        <f>SUM(AB8:AB90)</f>
        <v>6115595.1082697492</v>
      </c>
      <c r="AC92" s="25">
        <f>AB92</f>
        <v>6115595.1082697492</v>
      </c>
      <c r="AD92" s="26">
        <f>F97+F98</f>
        <v>1292715</v>
      </c>
      <c r="AE92" s="20" t="s">
        <v>66</v>
      </c>
      <c r="AF92" s="20"/>
      <c r="AG92" s="20"/>
      <c r="AH92" s="20"/>
      <c r="AI92" s="24">
        <f>SUM(AI8:AI90)</f>
        <v>4769161.6878415197</v>
      </c>
      <c r="AJ92" s="24">
        <f>IF(ISERROR(AI92/AC92),0,AI92/AC92)</f>
        <v>0.7798360753792335</v>
      </c>
      <c r="AK92" s="24">
        <f>IF(ISERROR((AD92+AI92)/AC92),0,(AD92+AI92)/AC92)</f>
        <v>0.99121615812080344</v>
      </c>
      <c r="AL92" s="27">
        <f>IF(VALUE(LEFT($AI92,11))=0,"-",(VLOOKUP(Y92,'APP 2885'!$B$10:$G$54,6)*VALUE(LEFT($R92,7)))/(VALUE(LEFT($AI92,11))+$AD92))</f>
        <v>1.6760067876906439</v>
      </c>
      <c r="AM92" s="24">
        <f>IF(ISERROR(RU92/AB92),0,X92/AB92)</f>
        <v>1.0308596164739612</v>
      </c>
      <c r="AN92" s="24">
        <f>IF(ISERROR(X92/AB92),0,(X92+AD92)/AB92)</f>
        <v>1.2422396992155311</v>
      </c>
      <c r="AO92" s="112">
        <f>IF($AI92=0,"-",(VLOOKUP(Y92,'APP 2885'!$B$10:$G$54,4)*$R92)/($X92+$AD92))</f>
        <v>1.2157549786139437</v>
      </c>
    </row>
    <row r="93" spans="2:41" ht="30" customHeight="1" thickBot="1" x14ac:dyDescent="0.3">
      <c r="E93" s="28"/>
      <c r="F93" s="29">
        <v>2022</v>
      </c>
      <c r="G93" s="29">
        <v>2023</v>
      </c>
      <c r="H93" s="41"/>
      <c r="I93" s="29"/>
      <c r="J93" s="29"/>
      <c r="K93" s="41"/>
      <c r="L93" s="41"/>
      <c r="M93" s="41"/>
      <c r="N93" s="29"/>
      <c r="O93" s="41"/>
      <c r="P93" s="41"/>
      <c r="Q93" s="41"/>
      <c r="R93" s="29"/>
      <c r="S93" s="29"/>
      <c r="T93" s="41"/>
      <c r="U93" s="41" t="s">
        <v>326</v>
      </c>
      <c r="V93" s="129">
        <f>W92-X92</f>
        <v>292051.61023872811</v>
      </c>
      <c r="W93" s="29"/>
      <c r="X93" s="29"/>
      <c r="Y93" s="29"/>
      <c r="Z93" s="41"/>
      <c r="AA93" s="41"/>
      <c r="AB93" s="29"/>
      <c r="AC93" s="29"/>
      <c r="AD93" s="29"/>
      <c r="AE93" s="29"/>
      <c r="AF93" s="41"/>
      <c r="AG93" s="41"/>
      <c r="AH93" s="41"/>
      <c r="AI93" s="29"/>
      <c r="AJ93" s="29"/>
      <c r="AK93" s="29"/>
      <c r="AL93" s="29"/>
      <c r="AM93" s="29"/>
      <c r="AN93" s="29"/>
      <c r="AO93" s="110"/>
    </row>
    <row r="94" spans="2:41" ht="30" customHeight="1" thickBot="1" x14ac:dyDescent="0.3">
      <c r="E94" s="30" t="s">
        <v>67</v>
      </c>
      <c r="F94" s="31">
        <v>3.4000000000000002E-2</v>
      </c>
      <c r="G94" s="31">
        <v>3.4000000000000002E-2</v>
      </c>
      <c r="H94" s="41"/>
      <c r="I94" s="29"/>
      <c r="J94" s="29"/>
      <c r="K94" s="41"/>
      <c r="L94" s="41"/>
      <c r="M94" s="41"/>
      <c r="N94" s="29"/>
      <c r="O94" s="83"/>
      <c r="P94" s="41"/>
      <c r="Q94" s="41"/>
      <c r="R94" s="29"/>
      <c r="S94" s="29"/>
      <c r="T94" s="41"/>
      <c r="U94" s="41"/>
      <c r="V94" s="29"/>
      <c r="W94" s="29"/>
      <c r="X94" s="29"/>
      <c r="Y94" s="29"/>
      <c r="Z94" s="41"/>
      <c r="AA94" s="41"/>
      <c r="AB94" s="29"/>
      <c r="AC94" s="29"/>
      <c r="AD94" s="29"/>
      <c r="AE94" s="29"/>
      <c r="AF94" s="41"/>
      <c r="AG94" s="41"/>
      <c r="AH94" s="41"/>
      <c r="AI94" s="29"/>
      <c r="AJ94" s="29"/>
      <c r="AK94" s="29"/>
      <c r="AL94" s="29"/>
      <c r="AM94" s="29"/>
      <c r="AN94" s="29"/>
      <c r="AO94" s="110"/>
    </row>
    <row r="95" spans="2:41" ht="30" customHeight="1" thickBot="1" x14ac:dyDescent="0.3">
      <c r="E95" s="30" t="s">
        <v>68</v>
      </c>
      <c r="F95" s="31">
        <v>0.02</v>
      </c>
      <c r="G95" s="31">
        <v>0.02</v>
      </c>
      <c r="H95" s="41"/>
      <c r="I95" s="29"/>
      <c r="J95" s="29"/>
      <c r="K95" s="41"/>
      <c r="L95" s="41"/>
      <c r="M95" s="41"/>
      <c r="N95" s="29"/>
      <c r="O95" s="41"/>
      <c r="P95" s="41"/>
      <c r="Q95" s="41"/>
      <c r="R95" s="29"/>
      <c r="S95" s="29"/>
      <c r="T95" s="41"/>
      <c r="U95" s="41"/>
      <c r="V95" s="29"/>
      <c r="W95" s="29"/>
      <c r="X95" s="29"/>
      <c r="Y95" s="29"/>
      <c r="Z95" s="41"/>
      <c r="AA95" s="41"/>
      <c r="AB95" s="29"/>
      <c r="AC95" s="29"/>
      <c r="AD95" s="29"/>
      <c r="AE95" s="29"/>
      <c r="AF95" s="41"/>
      <c r="AG95" s="41"/>
      <c r="AH95" s="41"/>
      <c r="AI95" s="29"/>
      <c r="AJ95" s="29"/>
      <c r="AK95" s="29"/>
      <c r="AL95" s="29"/>
      <c r="AM95" s="29"/>
      <c r="AN95" s="29"/>
      <c r="AO95" s="110"/>
    </row>
    <row r="96" spans="2:41" ht="30" customHeight="1" thickBot="1" x14ac:dyDescent="0.3">
      <c r="E96" s="30" t="s">
        <v>69</v>
      </c>
      <c r="F96" s="31">
        <v>3.4000000000000002E-2</v>
      </c>
      <c r="G96" s="31">
        <v>3.4000000000000002E-2</v>
      </c>
      <c r="H96" s="41"/>
      <c r="I96" s="29"/>
      <c r="J96" s="29"/>
      <c r="K96" s="41"/>
      <c r="L96" s="41"/>
      <c r="M96" s="41"/>
      <c r="N96" s="29"/>
      <c r="O96" s="41"/>
      <c r="P96" s="41"/>
      <c r="Q96" s="41"/>
      <c r="R96" s="29"/>
      <c r="S96" s="29"/>
      <c r="T96" s="41"/>
      <c r="U96" s="41"/>
      <c r="V96" s="29"/>
      <c r="W96" s="29"/>
      <c r="X96" s="29"/>
      <c r="Y96" s="29"/>
      <c r="Z96" s="41"/>
      <c r="AA96" s="41"/>
      <c r="AB96" s="29"/>
      <c r="AC96" s="29"/>
      <c r="AD96" s="29"/>
      <c r="AE96" s="29"/>
      <c r="AF96" s="41"/>
      <c r="AG96" s="41"/>
      <c r="AH96" s="41"/>
      <c r="AI96" s="29"/>
      <c r="AJ96" s="29"/>
      <c r="AK96" s="29"/>
      <c r="AL96" s="29"/>
      <c r="AM96" s="29"/>
      <c r="AN96" s="29"/>
      <c r="AO96" s="110"/>
    </row>
    <row r="97" spans="5:41" ht="30" customHeight="1" thickBot="1" x14ac:dyDescent="0.3">
      <c r="E97" s="30" t="s">
        <v>70</v>
      </c>
      <c r="F97" s="32">
        <v>1257715</v>
      </c>
      <c r="G97" s="32">
        <v>1404670</v>
      </c>
      <c r="H97" s="41"/>
      <c r="I97" s="29"/>
      <c r="J97" s="29"/>
      <c r="K97" s="41"/>
      <c r="L97" s="41"/>
      <c r="M97" s="41"/>
      <c r="N97" s="29"/>
      <c r="O97" s="41"/>
      <c r="P97" s="41"/>
      <c r="Q97" s="41"/>
      <c r="R97" s="29"/>
      <c r="S97" s="29"/>
      <c r="T97" s="41"/>
      <c r="U97" s="41"/>
      <c r="V97" s="29"/>
      <c r="W97" s="29"/>
      <c r="X97" s="29"/>
      <c r="Y97" s="29"/>
      <c r="Z97" s="41"/>
      <c r="AA97" s="41"/>
      <c r="AB97" s="29"/>
      <c r="AC97" s="29"/>
      <c r="AD97" s="29"/>
      <c r="AE97" s="29"/>
      <c r="AF97" s="41"/>
      <c r="AG97" s="41"/>
      <c r="AH97" s="41"/>
      <c r="AI97" s="29"/>
      <c r="AJ97" s="29"/>
      <c r="AK97" s="29"/>
      <c r="AL97" s="29"/>
      <c r="AM97" s="29"/>
      <c r="AN97" s="29"/>
      <c r="AO97" s="110"/>
    </row>
    <row r="98" spans="5:41" ht="30" customHeight="1" thickBot="1" x14ac:dyDescent="0.3">
      <c r="E98" s="30" t="s">
        <v>345</v>
      </c>
      <c r="F98" s="32">
        <v>35000</v>
      </c>
      <c r="G98" s="32">
        <v>35000</v>
      </c>
      <c r="H98" s="41"/>
      <c r="I98" s="29"/>
      <c r="J98" s="29"/>
      <c r="K98" s="41"/>
      <c r="L98" s="41"/>
      <c r="M98" s="41"/>
      <c r="N98" s="29"/>
      <c r="O98" s="41"/>
      <c r="P98" s="41"/>
      <c r="Q98" s="41"/>
      <c r="R98" s="29"/>
      <c r="S98" s="29"/>
      <c r="T98" s="41"/>
      <c r="U98" s="41"/>
      <c r="V98" s="29"/>
      <c r="W98" s="29"/>
      <c r="X98" s="29"/>
      <c r="Y98" s="29"/>
      <c r="Z98" s="41"/>
      <c r="AA98" s="41"/>
      <c r="AB98" s="29"/>
      <c r="AC98" s="29"/>
      <c r="AD98" s="29"/>
      <c r="AE98" s="29"/>
      <c r="AF98" s="41"/>
      <c r="AG98" s="41"/>
      <c r="AH98" s="41"/>
      <c r="AI98" s="29"/>
      <c r="AJ98" s="29"/>
      <c r="AK98" s="29"/>
      <c r="AL98" s="29"/>
      <c r="AM98" s="29"/>
      <c r="AN98" s="29"/>
      <c r="AO98" s="110"/>
    </row>
    <row r="99" spans="5:41" ht="15.75" thickBot="1" x14ac:dyDescent="0.3">
      <c r="E99" s="30" t="s">
        <v>346</v>
      </c>
      <c r="F99" s="32">
        <v>0</v>
      </c>
      <c r="G99" s="32">
        <v>80000</v>
      </c>
    </row>
  </sheetData>
  <autoFilter ref="A7:AO7" xr:uid="{3669070A-4564-4490-80ED-86DA3544A66F}"/>
  <mergeCells count="3">
    <mergeCell ref="F1:AO1"/>
    <mergeCell ref="F2:AO2"/>
    <mergeCell ref="AH5:AO6"/>
  </mergeCells>
  <phoneticPr fontId="29" type="noConversion"/>
  <dataValidations count="1">
    <dataValidation type="list" allowBlank="1" showInputMessage="1" showErrorMessage="1" sqref="B2:C2" xr:uid="{E6748A62-8FCD-4907-B114-3150B223B059}">
      <formula1>$B$3:$B$4</formula1>
    </dataValidation>
  </dataValidations>
  <pageMargins left="0" right="0" top="0" bottom="0" header="0" footer="0"/>
  <pageSetup orientation="portrait" r:id="rId1"/>
  <ignoredErrors>
    <ignoredError sqref="V39 AC8:AC9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259D9-6725-44F4-84CB-F4A8D0F09F31}">
  <sheetPr>
    <tabColor rgb="FF0070C0"/>
    <outlinePr summaryBelow="0"/>
  </sheetPr>
  <dimension ref="A1:AO99"/>
  <sheetViews>
    <sheetView showGridLines="0" zoomScale="70" zoomScaleNormal="70" workbookViewId="0">
      <selection activeCell="E8" sqref="E8"/>
    </sheetView>
  </sheetViews>
  <sheetFormatPr defaultRowHeight="15" x14ac:dyDescent="0.25"/>
  <cols>
    <col min="1" max="1" width="20.5703125" customWidth="1"/>
    <col min="2" max="2" width="41.85546875" customWidth="1"/>
    <col min="3" max="3" width="13.42578125" hidden="1" customWidth="1"/>
    <col min="4" max="4" width="8.42578125" hidden="1" customWidth="1"/>
    <col min="5" max="5" width="53.42578125" customWidth="1"/>
    <col min="6" max="6" width="18" customWidth="1"/>
    <col min="7" max="7" width="45.85546875" customWidth="1"/>
    <col min="8" max="8" width="50.85546875" customWidth="1"/>
    <col min="9" max="9" width="28.140625" hidden="1" customWidth="1"/>
    <col min="10" max="10" width="26.42578125" hidden="1" customWidth="1"/>
    <col min="11" max="11" width="16.5703125" hidden="1" customWidth="1"/>
    <col min="12" max="12" width="24.28515625" bestFit="1" customWidth="1"/>
    <col min="13" max="13" width="30" bestFit="1" customWidth="1"/>
    <col min="14" max="15" width="20.140625" customWidth="1"/>
    <col min="16" max="16" width="16.140625" customWidth="1"/>
    <col min="17" max="17" width="20.140625" customWidth="1"/>
    <col min="18" max="18" width="27.7109375" bestFit="1" customWidth="1"/>
    <col min="19" max="20" width="20.5703125" customWidth="1"/>
    <col min="21" max="21" width="16.5703125" customWidth="1"/>
    <col min="22" max="22" width="24.42578125" bestFit="1" customWidth="1"/>
    <col min="23" max="23" width="21.42578125" customWidth="1"/>
    <col min="24" max="24" width="29.140625" customWidth="1"/>
    <col min="25" max="25" width="10.140625" customWidth="1"/>
    <col min="26" max="27" width="19.140625" customWidth="1"/>
    <col min="28" max="28" width="24.42578125" customWidth="1"/>
    <col min="29" max="29" width="27.42578125" bestFit="1" customWidth="1"/>
    <col min="30" max="30" width="31" bestFit="1" customWidth="1"/>
    <col min="31" max="31" width="14.42578125" customWidth="1"/>
    <col min="32" max="32" width="22.140625" customWidth="1"/>
    <col min="33" max="33" width="20.85546875" bestFit="1" customWidth="1"/>
    <col min="34" max="34" width="23.85546875" bestFit="1" customWidth="1"/>
    <col min="35" max="35" width="28.140625" bestFit="1" customWidth="1"/>
    <col min="36" max="36" width="24" bestFit="1" customWidth="1"/>
    <col min="37" max="37" width="26.28515625" bestFit="1" customWidth="1"/>
    <col min="38" max="38" width="38.5703125" bestFit="1" customWidth="1"/>
    <col min="39" max="39" width="28.28515625" bestFit="1" customWidth="1"/>
    <col min="40" max="40" width="28.140625" bestFit="1" customWidth="1"/>
    <col min="41" max="41" width="38.5703125" style="111" bestFit="1" customWidth="1"/>
  </cols>
  <sheetData>
    <row r="1" spans="1:41" ht="30" customHeight="1" thickBot="1" x14ac:dyDescent="0.35">
      <c r="B1" s="80"/>
      <c r="C1" s="80"/>
      <c r="E1" s="1" t="s">
        <v>0</v>
      </c>
      <c r="F1" s="137" t="s">
        <v>1</v>
      </c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</row>
    <row r="2" spans="1:41" ht="30" customHeight="1" thickBot="1" x14ac:dyDescent="0.3">
      <c r="A2" s="126"/>
      <c r="B2" s="79" t="s">
        <v>227</v>
      </c>
      <c r="C2" s="118"/>
      <c r="E2" s="1">
        <v>2023</v>
      </c>
      <c r="F2" s="138" t="s">
        <v>2</v>
      </c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</row>
    <row r="3" spans="1:41" ht="14.45" customHeight="1" thickBot="1" x14ac:dyDescent="0.3">
      <c r="B3" s="75" t="s">
        <v>226</v>
      </c>
      <c r="C3" s="75"/>
      <c r="E3" s="1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09"/>
    </row>
    <row r="4" spans="1:41" ht="14.45" customHeight="1" thickBot="1" x14ac:dyDescent="0.3">
      <c r="B4" s="75" t="s">
        <v>227</v>
      </c>
      <c r="C4" s="75"/>
      <c r="E4" s="1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09"/>
    </row>
    <row r="5" spans="1:41" ht="24.95" customHeight="1" thickBot="1" x14ac:dyDescent="0.3">
      <c r="B5" s="78"/>
      <c r="C5" s="78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9" t="s">
        <v>343</v>
      </c>
      <c r="AI5" s="140"/>
      <c r="AJ5" s="140"/>
      <c r="AK5" s="140"/>
      <c r="AL5" s="140"/>
      <c r="AM5" s="140"/>
      <c r="AN5" s="140"/>
      <c r="AO5" s="141"/>
    </row>
    <row r="6" spans="1:41" ht="24.95" customHeight="1" x14ac:dyDescent="0.25">
      <c r="B6" s="78"/>
      <c r="C6" s="78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6"/>
      <c r="AH6" s="142"/>
      <c r="AI6" s="143"/>
      <c r="AJ6" s="143"/>
      <c r="AK6" s="143"/>
      <c r="AL6" s="143"/>
      <c r="AM6" s="143"/>
      <c r="AN6" s="143"/>
      <c r="AO6" s="144"/>
    </row>
    <row r="7" spans="1:41" ht="33" customHeight="1" thickBot="1" x14ac:dyDescent="0.3">
      <c r="C7" t="s">
        <v>302</v>
      </c>
      <c r="D7" t="s">
        <v>192</v>
      </c>
      <c r="E7" s="2" t="s">
        <v>3</v>
      </c>
      <c r="F7" s="2" t="s">
        <v>4</v>
      </c>
      <c r="G7" s="2" t="s">
        <v>5</v>
      </c>
      <c r="H7" s="2" t="s">
        <v>201</v>
      </c>
      <c r="I7" s="2" t="s">
        <v>334</v>
      </c>
      <c r="J7" s="2" t="s">
        <v>335</v>
      </c>
      <c r="K7" s="2" t="s">
        <v>91</v>
      </c>
      <c r="L7" s="2" t="s">
        <v>336</v>
      </c>
      <c r="M7" s="134" t="s">
        <v>328</v>
      </c>
      <c r="N7" s="2" t="s">
        <v>6</v>
      </c>
      <c r="O7" s="74" t="s">
        <v>199</v>
      </c>
      <c r="P7" s="74" t="s">
        <v>193</v>
      </c>
      <c r="Q7" s="2" t="s">
        <v>198</v>
      </c>
      <c r="R7" s="2" t="s">
        <v>344</v>
      </c>
      <c r="S7" s="2" t="s">
        <v>7</v>
      </c>
      <c r="T7" s="74" t="s">
        <v>228</v>
      </c>
      <c r="U7" s="2" t="s">
        <v>229</v>
      </c>
      <c r="V7" s="2" t="s">
        <v>8</v>
      </c>
      <c r="W7" s="2" t="s">
        <v>9</v>
      </c>
      <c r="X7" s="2" t="s">
        <v>10</v>
      </c>
      <c r="Y7" s="2" t="s">
        <v>11</v>
      </c>
      <c r="Z7" s="74" t="s">
        <v>203</v>
      </c>
      <c r="AA7" s="2" t="s">
        <v>204</v>
      </c>
      <c r="AB7" s="2" t="s">
        <v>339</v>
      </c>
      <c r="AC7" s="2" t="s">
        <v>341</v>
      </c>
      <c r="AD7" s="2" t="s">
        <v>333</v>
      </c>
      <c r="AE7" s="2" t="s">
        <v>12</v>
      </c>
      <c r="AF7" s="74" t="s">
        <v>200</v>
      </c>
      <c r="AG7" s="74" t="s">
        <v>193</v>
      </c>
      <c r="AH7" s="2" t="s">
        <v>205</v>
      </c>
      <c r="AI7" s="2" t="s">
        <v>13</v>
      </c>
      <c r="AJ7" s="2" t="s">
        <v>14</v>
      </c>
      <c r="AK7" s="2" t="s">
        <v>15</v>
      </c>
      <c r="AL7" s="2" t="s">
        <v>16</v>
      </c>
      <c r="AM7" s="2" t="s">
        <v>17</v>
      </c>
      <c r="AN7" s="2" t="s">
        <v>18</v>
      </c>
      <c r="AO7" s="2" t="s">
        <v>19</v>
      </c>
    </row>
    <row r="8" spans="1:41" ht="20.100000000000001" customHeight="1" thickBot="1" x14ac:dyDescent="0.3">
      <c r="C8" s="119" t="s">
        <v>125</v>
      </c>
      <c r="D8" s="55" t="str">
        <f t="shared" ref="D8:D71" si="0">E8&amp;"_"&amp;F8&amp;"_"&amp;G8</f>
        <v>0.87 UEF Tankless Water Heater_Zone 1_0.87+ UEF</v>
      </c>
      <c r="E8" s="3" t="s">
        <v>20</v>
      </c>
      <c r="F8" s="3" t="s">
        <v>21</v>
      </c>
      <c r="G8" s="3" t="s">
        <v>22</v>
      </c>
      <c r="H8" s="3" t="str">
        <f t="shared" ref="H8:H51" si="1">G8</f>
        <v>0.87+ UEF</v>
      </c>
      <c r="I8" s="4">
        <v>81</v>
      </c>
      <c r="J8" s="4">
        <v>81</v>
      </c>
      <c r="K8" s="4"/>
      <c r="L8" s="4">
        <f t="shared" ref="L8:L15" si="2">(R8/Q8)</f>
        <v>0</v>
      </c>
      <c r="M8" s="131">
        <v>0</v>
      </c>
      <c r="N8" s="70">
        <v>60</v>
      </c>
      <c r="O8" s="70">
        <f>IF(INDEX('Res Measure Mapping'!$R:$R,MATCH($D8,'Res Measure Mapping'!$B:$B,0))="N/A",N8,INDEX('Res Measure Mapping'!$R:$R,MATCH($D8,'Res Measure Mapping'!$B:$B,0)))</f>
        <v>61.739209068734127</v>
      </c>
      <c r="P8" s="70" t="str">
        <f>INDEX('Res Measure Mapping'!$S:$S,MATCH($D8,'Res Measure Mapping'!$B:$B,0))</f>
        <v>unit</v>
      </c>
      <c r="Q8" s="70">
        <f t="shared" ref="Q8:Q13" si="3">N8</f>
        <v>60</v>
      </c>
      <c r="R8" s="135">
        <f t="shared" ref="R8:R39" si="4">M8*$R$92</f>
        <v>0</v>
      </c>
      <c r="S8" s="5">
        <v>1171</v>
      </c>
      <c r="T8" s="76">
        <f>IF(INDEX('Res Measure Mapping'!$T:$T,MATCH($D8,'Res Measure Mapping'!$B:$B,0))="N/A",S8,INDEX('Res Measure Mapping'!$T:$T,MATCH($D8,'Res Measure Mapping'!$B:$B,0)))</f>
        <v>2447.4499999999998</v>
      </c>
      <c r="U8" s="5">
        <f t="shared" ref="U8:U13" si="5">S8</f>
        <v>1171</v>
      </c>
      <c r="V8" s="5">
        <f t="shared" ref="V8:V34" si="6">IF($B$2="Original",PV($F$96,$Y8,(-0.05*0.95*$N8)),PV($F$96,$AA8,(-0.05*0.95*$Q8)))</f>
        <v>29.548641014016606</v>
      </c>
      <c r="W8" s="5">
        <f t="shared" ref="W8:W39" si="7">IF($B$2="Original",IF(ISNUMBER(S8),S8*L8,""),IF(ISNUMBER(U8),U8*L8,""))</f>
        <v>0</v>
      </c>
      <c r="X8" s="6">
        <f t="shared" ref="X8:X39" si="8">W8-L8*(V8)</f>
        <v>0</v>
      </c>
      <c r="Y8" s="4">
        <v>18</v>
      </c>
      <c r="Z8" s="70">
        <f>IF(INDEX('Res Measure Mapping'!$U:$U,MATCH($D8,'Res Measure Mapping'!$B:$B,0))="N/A",Y8,INDEX('Res Measure Mapping'!$U:$U,MATCH($D8,'Res Measure Mapping'!$B:$B,0)))</f>
        <v>13</v>
      </c>
      <c r="AA8" s="4">
        <f>Z8</f>
        <v>13</v>
      </c>
      <c r="AB8" s="4">
        <f t="shared" ref="AB8:AC27" si="9">IF($B$2="Original",PV($F$96,$Y8,-$R8),PV($F$96,$AA8,-$R8))</f>
        <v>0</v>
      </c>
      <c r="AC8" s="4">
        <f t="shared" si="9"/>
        <v>0</v>
      </c>
      <c r="AD8" s="7">
        <f t="shared" ref="AD8:AD39" si="10">(R8/$R$92)*$AD$92</f>
        <v>0</v>
      </c>
      <c r="AE8" s="5">
        <v>250</v>
      </c>
      <c r="AF8" s="76">
        <f>ROUND(IF(INDEX('Res Measure Mapping'!$V:$V,MATCH($D8,'Res Measure Mapping'!$B:$B,0))="N/A",AE8,INDEX('Res Measure Mapping'!$V:$V,MATCH($D8,'Res Measure Mapping'!$B:$B,0))),0)</f>
        <v>320</v>
      </c>
      <c r="AG8" s="70" t="str">
        <f>INDEX('Res Measure Mapping'!$S:$S,MATCH($D8,'Res Measure Mapping'!$B:$B,0))</f>
        <v>unit</v>
      </c>
      <c r="AH8" s="5">
        <f>AE8</f>
        <v>250</v>
      </c>
      <c r="AI8" s="5">
        <f>IF($B$2="Original",IF(ISNUMBER($AE8),$AE8*$L8,""),IF(ISNUMBER($AH8),$AH8*$L8,""))</f>
        <v>0</v>
      </c>
      <c r="AJ8" s="8">
        <f>IF(ISERROR($AI8/#REF!),0,$AI8/#REF!)</f>
        <v>0</v>
      </c>
      <c r="AK8" s="8">
        <f>IF(ISERROR(($AD8+$AI8)/$AC8),0,($AD8+$AI8)/$AC8)</f>
        <v>0</v>
      </c>
      <c r="AL8" s="81" t="str">
        <f>IF($B$2="Original",IF($AI8=0,"-",(VLOOKUP($Y8,'APP 2885'!$B$10:$G$54,6)*$R8)/($AI8+$AD8)),IF($AI8=0,"-",(VLOOKUP($AA8,'APP 2885'!$B$10:$G$54,6)*$R8)/($AI8+$AD8)))</f>
        <v>-</v>
      </c>
      <c r="AM8" s="9">
        <f>IF(ISERROR($RU8/$AB8),0,$X8/$AB8)</f>
        <v>0</v>
      </c>
      <c r="AN8" s="10">
        <f>IF(ISERROR($X8/$AB8),0,($X8+$AD8)/$AB8)</f>
        <v>0</v>
      </c>
      <c r="AO8" s="107" t="str">
        <f>IF($B$2="Original",IF($AI8=0,"-",(VLOOKUP($Y8,'APP 2885'!$B$10:$G$54,4)*$R8)/($X8+$AD8)),IF($AI8=0,"-",(VLOOKUP($AA8,'APP 2885'!$B$10:$G$54,4)*$R8)/($X8+$AD8)))</f>
        <v>-</v>
      </c>
    </row>
    <row r="9" spans="1:41" ht="20.100000000000001" customHeight="1" thickBot="1" x14ac:dyDescent="0.3">
      <c r="C9" s="119" t="s">
        <v>125</v>
      </c>
      <c r="D9" s="55" t="str">
        <f t="shared" si="0"/>
        <v>0.87 UEF Tankless Water Heater_Zone 2_0.87+ UEF</v>
      </c>
      <c r="E9" s="11" t="s">
        <v>20</v>
      </c>
      <c r="F9" s="11" t="s">
        <v>23</v>
      </c>
      <c r="G9" s="11" t="s">
        <v>22</v>
      </c>
      <c r="H9" s="11" t="str">
        <f t="shared" si="1"/>
        <v>0.87+ UEF</v>
      </c>
      <c r="I9" s="12">
        <v>74</v>
      </c>
      <c r="J9" s="12">
        <v>74</v>
      </c>
      <c r="K9" s="12"/>
      <c r="L9" s="12">
        <f t="shared" si="2"/>
        <v>0</v>
      </c>
      <c r="M9" s="132">
        <v>0</v>
      </c>
      <c r="N9" s="71">
        <v>60</v>
      </c>
      <c r="O9" s="73">
        <f>IF(INDEX('Res Measure Mapping'!$R:$R,MATCH($D9,'Res Measure Mapping'!$B:$B,0))="N/A",N9,INDEX('Res Measure Mapping'!$R:$R,MATCH($D9,'Res Measure Mapping'!$B:$B,0)))</f>
        <v>61.397163589128986</v>
      </c>
      <c r="P9" s="73" t="str">
        <f>INDEX('Res Measure Mapping'!$S:$S,MATCH($D9,'Res Measure Mapping'!$B:$B,0))</f>
        <v>unit</v>
      </c>
      <c r="Q9" s="71">
        <f t="shared" si="3"/>
        <v>60</v>
      </c>
      <c r="R9" s="136">
        <f t="shared" si="4"/>
        <v>0</v>
      </c>
      <c r="S9" s="13">
        <v>1171</v>
      </c>
      <c r="T9" s="77">
        <f>IF(INDEX('Res Measure Mapping'!$T:$T,MATCH($D9,'Res Measure Mapping'!$B:$B,0))="N/A",S9,INDEX('Res Measure Mapping'!$T:$T,MATCH($D9,'Res Measure Mapping'!$B:$B,0)))</f>
        <v>1882.25</v>
      </c>
      <c r="U9" s="13">
        <f t="shared" si="5"/>
        <v>1171</v>
      </c>
      <c r="V9" s="13">
        <f t="shared" si="6"/>
        <v>29.548641014016606</v>
      </c>
      <c r="W9" s="13">
        <f t="shared" si="7"/>
        <v>0</v>
      </c>
      <c r="X9" s="14">
        <f t="shared" si="8"/>
        <v>0</v>
      </c>
      <c r="Y9" s="12">
        <v>18</v>
      </c>
      <c r="Z9" s="73">
        <f>IF(INDEX('Res Measure Mapping'!$U:$U,MATCH($D9,'Res Measure Mapping'!$B:$B,0))="N/A",Y9,INDEX('Res Measure Mapping'!$U:$U,MATCH($D9,'Res Measure Mapping'!$B:$B,0)))</f>
        <v>13</v>
      </c>
      <c r="AA9" s="12">
        <f t="shared" ref="AA9:AA71" si="11">Z9</f>
        <v>13</v>
      </c>
      <c r="AB9" s="12">
        <f t="shared" si="9"/>
        <v>0</v>
      </c>
      <c r="AC9" s="12">
        <f t="shared" si="9"/>
        <v>0</v>
      </c>
      <c r="AD9" s="15">
        <f t="shared" si="10"/>
        <v>0</v>
      </c>
      <c r="AE9" s="13">
        <v>250</v>
      </c>
      <c r="AF9" s="77">
        <f>ROUND(IF(INDEX('Res Measure Mapping'!$V:$V,MATCH($D9,'Res Measure Mapping'!$B:$B,0))="N/A",AE9,INDEX('Res Measure Mapping'!$V:$V,MATCH($D9,'Res Measure Mapping'!$B:$B,0))),0)</f>
        <v>246</v>
      </c>
      <c r="AG9" s="73" t="str">
        <f>INDEX('Res Measure Mapping'!$S:$S,MATCH($D9,'Res Measure Mapping'!$B:$B,0))</f>
        <v>unit</v>
      </c>
      <c r="AH9" s="13">
        <f t="shared" ref="AH9:AH13" si="12">AE9</f>
        <v>250</v>
      </c>
      <c r="AI9" s="5">
        <f>IF($B$2="Original",IF(ISNUMBER($AE9),$AE9*$L9,""),IF(ISNUMBER($AH9),$AH9*$L9,""))</f>
        <v>0</v>
      </c>
      <c r="AJ9" s="16">
        <f t="shared" ref="AJ9:AJ40" si="13">IF(ISERROR(AI9/AC9),0,AI9/AC9)</f>
        <v>0</v>
      </c>
      <c r="AK9" s="16">
        <f t="shared" ref="AK9:AK40" si="14">IF(ISERROR((AD9+AI9)/AC9),0,(AD9+AI9)/AC9)</f>
        <v>0</v>
      </c>
      <c r="AL9" s="82" t="str">
        <f>IF($B$2="Original",IF($AI9=0,"-",(VLOOKUP(Y9,'APP 2885'!$B$10:$G$54,6)*$R9)/($AI9+$AD9)),IF($AI9=0,"-",(VLOOKUP(AA9,'APP 2885'!$B$10:$G$54,6)*$R9)/($AI9+$AD9)))</f>
        <v>-</v>
      </c>
      <c r="AM9" s="17">
        <f t="shared" ref="AM9:AM40" si="15">IF(ISERROR(RU9/AB9),0,X9/AB9)</f>
        <v>0</v>
      </c>
      <c r="AN9" s="18">
        <f t="shared" ref="AN9:AN40" si="16">IF(ISERROR(X9/AB9),0,(X9+AD9)/AB9)</f>
        <v>0</v>
      </c>
      <c r="AO9" s="108" t="str">
        <f>IF($B$2="Original",IF($AI9=0,"-",(VLOOKUP(Y9,'APP 2885'!$B$10:$G$54,4)*$R9)/($X9+$AD9)),IF($AI9=0,"-",(VLOOKUP(AA9,'APP 2885'!$B$10:$G$54,4)*$R9)/($X9+$AD9)))</f>
        <v>-</v>
      </c>
    </row>
    <row r="10" spans="1:41" ht="20.100000000000001" customHeight="1" thickBot="1" x14ac:dyDescent="0.3">
      <c r="C10" s="119" t="s">
        <v>125</v>
      </c>
      <c r="D10" s="55" t="str">
        <f t="shared" si="0"/>
        <v>0.87 UEF Tankless Water Heater_Zone 3_0.87+ UEF</v>
      </c>
      <c r="E10" s="3" t="s">
        <v>20</v>
      </c>
      <c r="F10" s="3" t="s">
        <v>24</v>
      </c>
      <c r="G10" s="3" t="s">
        <v>22</v>
      </c>
      <c r="H10" s="3" t="str">
        <f t="shared" si="1"/>
        <v>0.87+ UEF</v>
      </c>
      <c r="I10" s="4">
        <v>2</v>
      </c>
      <c r="J10" s="4">
        <v>2</v>
      </c>
      <c r="K10" s="4"/>
      <c r="L10" s="4">
        <f t="shared" si="2"/>
        <v>0</v>
      </c>
      <c r="M10" s="131">
        <v>0</v>
      </c>
      <c r="N10" s="70">
        <v>59</v>
      </c>
      <c r="O10" s="70">
        <f>IF(INDEX('Res Measure Mapping'!$R:$R,MATCH($D10,'Res Measure Mapping'!$B:$B,0))="N/A",N10,INDEX('Res Measure Mapping'!$R:$R,MATCH($D10,'Res Measure Mapping'!$B:$B,0)))</f>
        <v>60.884095369721237</v>
      </c>
      <c r="P10" s="70" t="str">
        <f>INDEX('Res Measure Mapping'!$S:$S,MATCH($D10,'Res Measure Mapping'!$B:$B,0))</f>
        <v>unit</v>
      </c>
      <c r="Q10" s="70">
        <f t="shared" si="3"/>
        <v>59</v>
      </c>
      <c r="R10" s="135">
        <f t="shared" si="4"/>
        <v>0</v>
      </c>
      <c r="S10" s="5">
        <v>1171</v>
      </c>
      <c r="T10" s="76">
        <f>IF(INDEX('Res Measure Mapping'!$T:$T,MATCH($D10,'Res Measure Mapping'!$B:$B,0))="N/A",S10,INDEX('Res Measure Mapping'!$T:$T,MATCH($D10,'Res Measure Mapping'!$B:$B,0)))</f>
        <v>1882.25</v>
      </c>
      <c r="U10" s="5">
        <f t="shared" si="5"/>
        <v>1171</v>
      </c>
      <c r="V10" s="5">
        <f t="shared" si="6"/>
        <v>29.056163663783003</v>
      </c>
      <c r="W10" s="5">
        <f t="shared" si="7"/>
        <v>0</v>
      </c>
      <c r="X10" s="6">
        <f t="shared" si="8"/>
        <v>0</v>
      </c>
      <c r="Y10" s="4">
        <v>18</v>
      </c>
      <c r="Z10" s="70">
        <f>IF(INDEX('Res Measure Mapping'!$U:$U,MATCH($D10,'Res Measure Mapping'!$B:$B,0))="N/A",Y10,INDEX('Res Measure Mapping'!$U:$U,MATCH($D10,'Res Measure Mapping'!$B:$B,0)))</f>
        <v>13</v>
      </c>
      <c r="AA10" s="4">
        <f t="shared" si="11"/>
        <v>13</v>
      </c>
      <c r="AB10" s="4">
        <f t="shared" si="9"/>
        <v>0</v>
      </c>
      <c r="AC10" s="4">
        <f t="shared" si="9"/>
        <v>0</v>
      </c>
      <c r="AD10" s="7">
        <f t="shared" si="10"/>
        <v>0</v>
      </c>
      <c r="AE10" s="5">
        <v>250</v>
      </c>
      <c r="AF10" s="76">
        <f>ROUND(IF(INDEX('Res Measure Mapping'!$V:$V,MATCH($D10,'Res Measure Mapping'!$B:$B,0))="N/A",AE10,INDEX('Res Measure Mapping'!$V:$V,MATCH($D10,'Res Measure Mapping'!$B:$B,0))),0)</f>
        <v>246</v>
      </c>
      <c r="AG10" s="70" t="str">
        <f>INDEX('Res Measure Mapping'!$S:$S,MATCH($D10,'Res Measure Mapping'!$B:$B,0))</f>
        <v>unit</v>
      </c>
      <c r="AH10" s="5">
        <f t="shared" si="12"/>
        <v>250</v>
      </c>
      <c r="AI10" s="5">
        <f t="shared" ref="AI10:AI41" si="17">IF($B$2="Original",IF(ISNUMBER(AE10),AE10*L10,""),IF(ISNUMBER(AH10),AH10*L10,""))</f>
        <v>0</v>
      </c>
      <c r="AJ10" s="8">
        <f t="shared" si="13"/>
        <v>0</v>
      </c>
      <c r="AK10" s="8">
        <f t="shared" si="14"/>
        <v>0</v>
      </c>
      <c r="AL10" s="81" t="str">
        <f>IF($B$2="Original",IF($AI10=0,"-",(VLOOKUP(Y10,'APP 2885'!$B$10:$G$54,6)*$R10)/($AI10+$AD10)),IF($AI10=0,"-",(VLOOKUP(AA10,'APP 2885'!$B$10:$G$54,6)*$R10)/($AI10+$AD10)))</f>
        <v>-</v>
      </c>
      <c r="AM10" s="9">
        <f t="shared" si="15"/>
        <v>0</v>
      </c>
      <c r="AN10" s="10">
        <f t="shared" si="16"/>
        <v>0</v>
      </c>
      <c r="AO10" s="107" t="str">
        <f>IF($B$2="Original",IF($AI10=0,"-",(VLOOKUP(Y10,'APP 2885'!$B$10:$G$54,4)*$R10)/($X10+$AD10)),IF($AI10=0,"-",(VLOOKUP(AA10,'APP 2885'!$B$10:$G$54,4)*$R10)/($X10+$AD10)))</f>
        <v>-</v>
      </c>
    </row>
    <row r="11" spans="1:41" ht="20.100000000000001" customHeight="1" thickBot="1" x14ac:dyDescent="0.3">
      <c r="C11" s="119" t="s">
        <v>125</v>
      </c>
      <c r="D11" s="55" t="str">
        <f t="shared" si="0"/>
        <v>0.93 UEF Tankless Water Heater_Zone 1_0.93+ UEF</v>
      </c>
      <c r="E11" s="11" t="s">
        <v>25</v>
      </c>
      <c r="F11" s="11" t="s">
        <v>21</v>
      </c>
      <c r="G11" s="11" t="s">
        <v>26</v>
      </c>
      <c r="H11" s="11" t="str">
        <f t="shared" si="1"/>
        <v>0.93+ UEF</v>
      </c>
      <c r="I11" s="12">
        <v>268</v>
      </c>
      <c r="J11" s="12">
        <v>269</v>
      </c>
      <c r="K11" s="12"/>
      <c r="L11" s="12">
        <f t="shared" si="2"/>
        <v>0</v>
      </c>
      <c r="M11" s="132">
        <v>0</v>
      </c>
      <c r="N11" s="71">
        <v>68</v>
      </c>
      <c r="O11" s="73">
        <f>IF(INDEX('Res Measure Mapping'!$R:$R,MATCH($D11,'Res Measure Mapping'!$B:$B,0))="N/A",N11,INDEX('Res Measure Mapping'!$R:$R,MATCH($D11,'Res Measure Mapping'!$B:$B,0)))</f>
        <v>65.997085556233031</v>
      </c>
      <c r="P11" s="73" t="str">
        <f>INDEX('Res Measure Mapping'!$S:$S,MATCH($D11,'Res Measure Mapping'!$B:$B,0))</f>
        <v>unit</v>
      </c>
      <c r="Q11" s="71">
        <f t="shared" si="3"/>
        <v>68</v>
      </c>
      <c r="R11" s="136">
        <f t="shared" si="4"/>
        <v>0</v>
      </c>
      <c r="S11" s="13">
        <v>1171</v>
      </c>
      <c r="T11" s="77">
        <f>IF(INDEX('Res Measure Mapping'!$T:$T,MATCH($D11,'Res Measure Mapping'!$B:$B,0))="N/A",S11,INDEX('Res Measure Mapping'!$T:$T,MATCH($D11,'Res Measure Mapping'!$B:$B,0)))</f>
        <v>1171</v>
      </c>
      <c r="U11" s="13">
        <f t="shared" si="5"/>
        <v>1171</v>
      </c>
      <c r="V11" s="13">
        <f t="shared" si="6"/>
        <v>33.488459815885491</v>
      </c>
      <c r="W11" s="13">
        <f t="shared" si="7"/>
        <v>0</v>
      </c>
      <c r="X11" s="14">
        <f t="shared" si="8"/>
        <v>0</v>
      </c>
      <c r="Y11" s="12">
        <v>18</v>
      </c>
      <c r="Z11" s="73">
        <f>IF(INDEX('Res Measure Mapping'!$U:$U,MATCH($D11,'Res Measure Mapping'!$B:$B,0))="N/A",Y11,INDEX('Res Measure Mapping'!$U:$U,MATCH($D11,'Res Measure Mapping'!$B:$B,0)))</f>
        <v>13</v>
      </c>
      <c r="AA11" s="12">
        <f t="shared" si="11"/>
        <v>13</v>
      </c>
      <c r="AB11" s="12">
        <f t="shared" si="9"/>
        <v>0</v>
      </c>
      <c r="AC11" s="12">
        <f t="shared" si="9"/>
        <v>0</v>
      </c>
      <c r="AD11" s="15">
        <f t="shared" si="10"/>
        <v>0</v>
      </c>
      <c r="AE11" s="13">
        <v>350</v>
      </c>
      <c r="AF11" s="77">
        <f>ROUND(IF(INDEX('Res Measure Mapping'!$V:$V,MATCH($D11,'Res Measure Mapping'!$B:$B,0))="N/A",AE11,INDEX('Res Measure Mapping'!$V:$V,MATCH($D11,'Res Measure Mapping'!$B:$B,0))),0)</f>
        <v>350</v>
      </c>
      <c r="AG11" s="73" t="str">
        <f>INDEX('Res Measure Mapping'!$S:$S,MATCH($D11,'Res Measure Mapping'!$B:$B,0))</f>
        <v>unit</v>
      </c>
      <c r="AH11" s="13">
        <f t="shared" si="12"/>
        <v>350</v>
      </c>
      <c r="AI11" s="13">
        <f t="shared" si="17"/>
        <v>0</v>
      </c>
      <c r="AJ11" s="16">
        <f t="shared" si="13"/>
        <v>0</v>
      </c>
      <c r="AK11" s="16">
        <f t="shared" si="14"/>
        <v>0</v>
      </c>
      <c r="AL11" s="82" t="str">
        <f>IF($B$2="Original",IF($AI11=0,"-",(VLOOKUP(Y11,'APP 2885'!$B$10:$G$54,6)*$R11)/($AI11+$AD11)),IF($AI11=0,"-",(VLOOKUP(AA11,'APP 2885'!$B$10:$G$54,6)*$R11)/($AI11+$AD11)))</f>
        <v>-</v>
      </c>
      <c r="AM11" s="17">
        <f t="shared" si="15"/>
        <v>0</v>
      </c>
      <c r="AN11" s="18">
        <f t="shared" si="16"/>
        <v>0</v>
      </c>
      <c r="AO11" s="108" t="str">
        <f>IF($B$2="Original",IF($AI11=0,"-",(VLOOKUP(Y11,'APP 2885'!$B$10:$G$54,4)*$R11)/($X11+$AD11)),IF($AI11=0,"-",(VLOOKUP(AA11,'APP 2885'!$B$10:$G$54,4)*$R11)/($X11+$AD11)))</f>
        <v>-</v>
      </c>
    </row>
    <row r="12" spans="1:41" ht="20.100000000000001" customHeight="1" thickBot="1" x14ac:dyDescent="0.3">
      <c r="C12" s="119" t="s">
        <v>125</v>
      </c>
      <c r="D12" s="55" t="str">
        <f t="shared" si="0"/>
        <v>0.93 UEF Tankless Water Heater_Zone 2_0.93+ UEF</v>
      </c>
      <c r="E12" s="3" t="s">
        <v>25</v>
      </c>
      <c r="F12" s="3" t="s">
        <v>23</v>
      </c>
      <c r="G12" s="3" t="s">
        <v>26</v>
      </c>
      <c r="H12" s="3" t="str">
        <f t="shared" si="1"/>
        <v>0.93+ UEF</v>
      </c>
      <c r="I12" s="4">
        <v>134</v>
      </c>
      <c r="J12" s="4">
        <v>135</v>
      </c>
      <c r="K12" s="4"/>
      <c r="L12" s="4">
        <f t="shared" si="2"/>
        <v>0</v>
      </c>
      <c r="M12" s="131">
        <v>0</v>
      </c>
      <c r="N12" s="70">
        <v>68</v>
      </c>
      <c r="O12" s="70">
        <f>IF(INDEX('Res Measure Mapping'!$R:$R,MATCH($D12,'Res Measure Mapping'!$B:$B,0))="N/A",N12,INDEX('Res Measure Mapping'!$R:$R,MATCH($D12,'Res Measure Mapping'!$B:$B,0)))</f>
        <v>65.631450733206847</v>
      </c>
      <c r="P12" s="70" t="str">
        <f>INDEX('Res Measure Mapping'!$S:$S,MATCH($D12,'Res Measure Mapping'!$B:$B,0))</f>
        <v>unit</v>
      </c>
      <c r="Q12" s="70">
        <f t="shared" si="3"/>
        <v>68</v>
      </c>
      <c r="R12" s="135">
        <f t="shared" si="4"/>
        <v>0</v>
      </c>
      <c r="S12" s="5">
        <v>1171</v>
      </c>
      <c r="T12" s="76">
        <f>IF(INDEX('Res Measure Mapping'!$T:$T,MATCH($D12,'Res Measure Mapping'!$B:$B,0))="N/A",S12,INDEX('Res Measure Mapping'!$T:$T,MATCH($D12,'Res Measure Mapping'!$B:$B,0)))</f>
        <v>1171</v>
      </c>
      <c r="U12" s="5">
        <f t="shared" si="5"/>
        <v>1171</v>
      </c>
      <c r="V12" s="5">
        <f t="shared" si="6"/>
        <v>33.488459815885491</v>
      </c>
      <c r="W12" s="5">
        <f t="shared" si="7"/>
        <v>0</v>
      </c>
      <c r="X12" s="6">
        <f t="shared" si="8"/>
        <v>0</v>
      </c>
      <c r="Y12" s="4">
        <v>18</v>
      </c>
      <c r="Z12" s="70">
        <f>IF(INDEX('Res Measure Mapping'!$U:$U,MATCH($D12,'Res Measure Mapping'!$B:$B,0))="N/A",Y12,INDEX('Res Measure Mapping'!$U:$U,MATCH($D12,'Res Measure Mapping'!$B:$B,0)))</f>
        <v>13</v>
      </c>
      <c r="AA12" s="4">
        <f t="shared" si="11"/>
        <v>13</v>
      </c>
      <c r="AB12" s="4">
        <f t="shared" si="9"/>
        <v>0</v>
      </c>
      <c r="AC12" s="4">
        <f t="shared" si="9"/>
        <v>0</v>
      </c>
      <c r="AD12" s="7">
        <f t="shared" si="10"/>
        <v>0</v>
      </c>
      <c r="AE12" s="5">
        <v>350</v>
      </c>
      <c r="AF12" s="76">
        <f>ROUND(IF(INDEX('Res Measure Mapping'!$V:$V,MATCH($D12,'Res Measure Mapping'!$B:$B,0))="N/A",AE12,INDEX('Res Measure Mapping'!$V:$V,MATCH($D12,'Res Measure Mapping'!$B:$B,0))),0)</f>
        <v>350</v>
      </c>
      <c r="AG12" s="70" t="str">
        <f>INDEX('Res Measure Mapping'!$S:$S,MATCH($D12,'Res Measure Mapping'!$B:$B,0))</f>
        <v>unit</v>
      </c>
      <c r="AH12" s="5">
        <f t="shared" si="12"/>
        <v>350</v>
      </c>
      <c r="AI12" s="5">
        <f t="shared" si="17"/>
        <v>0</v>
      </c>
      <c r="AJ12" s="8">
        <f t="shared" si="13"/>
        <v>0</v>
      </c>
      <c r="AK12" s="8">
        <f t="shared" si="14"/>
        <v>0</v>
      </c>
      <c r="AL12" s="81" t="str">
        <f>IF($B$2="Original",IF($AI12=0,"-",(VLOOKUP(Y12,'APP 2885'!$B$10:$G$54,6)*$R12)/($AI12+$AD12)),IF($AI12=0,"-",(VLOOKUP(AA12,'APP 2885'!$B$10:$G$54,6)*$R12)/($AI12+$AD12)))</f>
        <v>-</v>
      </c>
      <c r="AM12" s="9">
        <f t="shared" si="15"/>
        <v>0</v>
      </c>
      <c r="AN12" s="10">
        <f t="shared" si="16"/>
        <v>0</v>
      </c>
      <c r="AO12" s="107" t="str">
        <f>IF($B$2="Original",IF($AI12=0,"-",(VLOOKUP(Y12,'APP 2885'!$B$10:$G$54,4)*$R12)/($X12+$AD12)),IF($AI12=0,"-",(VLOOKUP(AA12,'APP 2885'!$B$10:$G$54,4)*$R12)/($X12+$AD12)))</f>
        <v>-</v>
      </c>
    </row>
    <row r="13" spans="1:41" ht="20.100000000000001" customHeight="1" thickBot="1" x14ac:dyDescent="0.3">
      <c r="C13" s="119" t="s">
        <v>125</v>
      </c>
      <c r="D13" s="55" t="str">
        <f t="shared" si="0"/>
        <v>0.93 UEF Tankless Water Heater_Zone 3_0.93+ UEF</v>
      </c>
      <c r="E13" s="11" t="s">
        <v>25</v>
      </c>
      <c r="F13" s="11" t="s">
        <v>24</v>
      </c>
      <c r="G13" s="11" t="s">
        <v>26</v>
      </c>
      <c r="H13" s="11" t="str">
        <f t="shared" si="1"/>
        <v>0.93+ UEF</v>
      </c>
      <c r="I13" s="12">
        <v>247</v>
      </c>
      <c r="J13" s="12">
        <v>247</v>
      </c>
      <c r="K13" s="12"/>
      <c r="L13" s="12">
        <f t="shared" si="2"/>
        <v>0</v>
      </c>
      <c r="M13" s="132">
        <v>0</v>
      </c>
      <c r="N13" s="71">
        <v>67</v>
      </c>
      <c r="O13" s="73">
        <f>IF(INDEX('Res Measure Mapping'!$R:$R,MATCH($D13,'Res Measure Mapping'!$B:$B,0))="N/A",N13,INDEX('Res Measure Mapping'!$R:$R,MATCH($D13,'Res Measure Mapping'!$B:$B,0)))</f>
        <v>65.082998498667536</v>
      </c>
      <c r="P13" s="73" t="str">
        <f>INDEX('Res Measure Mapping'!$S:$S,MATCH($D13,'Res Measure Mapping'!$B:$B,0))</f>
        <v>unit</v>
      </c>
      <c r="Q13" s="71">
        <f t="shared" si="3"/>
        <v>67</v>
      </c>
      <c r="R13" s="136">
        <f t="shared" si="4"/>
        <v>0</v>
      </c>
      <c r="S13" s="13">
        <v>1171</v>
      </c>
      <c r="T13" s="77">
        <f>IF(INDEX('Res Measure Mapping'!$T:$T,MATCH($D13,'Res Measure Mapping'!$B:$B,0))="N/A",S13,INDEX('Res Measure Mapping'!$T:$T,MATCH($D13,'Res Measure Mapping'!$B:$B,0)))</f>
        <v>1171</v>
      </c>
      <c r="U13" s="13">
        <f t="shared" si="5"/>
        <v>1171</v>
      </c>
      <c r="V13" s="13">
        <f t="shared" si="6"/>
        <v>32.995982465651878</v>
      </c>
      <c r="W13" s="13">
        <f t="shared" si="7"/>
        <v>0</v>
      </c>
      <c r="X13" s="14">
        <f t="shared" si="8"/>
        <v>0</v>
      </c>
      <c r="Y13" s="12">
        <v>18</v>
      </c>
      <c r="Z13" s="73">
        <f>IF(INDEX('Res Measure Mapping'!$U:$U,MATCH($D13,'Res Measure Mapping'!$B:$B,0))="N/A",Y13,INDEX('Res Measure Mapping'!$U:$U,MATCH($D13,'Res Measure Mapping'!$B:$B,0)))</f>
        <v>13</v>
      </c>
      <c r="AA13" s="12">
        <f t="shared" si="11"/>
        <v>13</v>
      </c>
      <c r="AB13" s="12">
        <f t="shared" si="9"/>
        <v>0</v>
      </c>
      <c r="AC13" s="12">
        <f t="shared" si="9"/>
        <v>0</v>
      </c>
      <c r="AD13" s="15">
        <f t="shared" si="10"/>
        <v>0</v>
      </c>
      <c r="AE13" s="13">
        <v>350</v>
      </c>
      <c r="AF13" s="77">
        <f>ROUND(IF(INDEX('Res Measure Mapping'!$V:$V,MATCH($D13,'Res Measure Mapping'!$B:$B,0))="N/A",AE13,INDEX('Res Measure Mapping'!$V:$V,MATCH($D13,'Res Measure Mapping'!$B:$B,0))),0)</f>
        <v>350</v>
      </c>
      <c r="AG13" s="73" t="str">
        <f>INDEX('Res Measure Mapping'!$S:$S,MATCH($D13,'Res Measure Mapping'!$B:$B,0))</f>
        <v>unit</v>
      </c>
      <c r="AH13" s="13">
        <f t="shared" si="12"/>
        <v>350</v>
      </c>
      <c r="AI13" s="13">
        <f t="shared" si="17"/>
        <v>0</v>
      </c>
      <c r="AJ13" s="16">
        <f t="shared" si="13"/>
        <v>0</v>
      </c>
      <c r="AK13" s="16">
        <f t="shared" si="14"/>
        <v>0</v>
      </c>
      <c r="AL13" s="82" t="str">
        <f>IF($B$2="Original",IF($AI13=0,"-",(VLOOKUP(Y13,'APP 2885'!$B$10:$G$54,6)*$R13)/($AI13+$AD13)),IF($AI13=0,"-",(VLOOKUP(AA13,'APP 2885'!$B$10:$G$54,6)*$R13)/($AI13+$AD13)))</f>
        <v>-</v>
      </c>
      <c r="AM13" s="17">
        <f t="shared" si="15"/>
        <v>0</v>
      </c>
      <c r="AN13" s="18">
        <f t="shared" si="16"/>
        <v>0</v>
      </c>
      <c r="AO13" s="108" t="str">
        <f>IF($B$2="Original",IF($AI13=0,"-",(VLOOKUP(Y13,'APP 2885'!$B$10:$G$54,4)*$R13)/($X13+$AD13)),IF($AI13=0,"-",(VLOOKUP(AA13,'APP 2885'!$B$10:$G$54,4)*$R13)/($X13+$AD13)))</f>
        <v>-</v>
      </c>
    </row>
    <row r="14" spans="1:41" ht="20.100000000000001" customHeight="1" thickBot="1" x14ac:dyDescent="0.3">
      <c r="C14" s="119">
        <v>1</v>
      </c>
      <c r="D14" s="55" t="str">
        <f t="shared" si="0"/>
        <v>Built Green Certified Home_Zone 3_Certified from one to five stars</v>
      </c>
      <c r="E14" s="3" t="s">
        <v>27</v>
      </c>
      <c r="F14" s="3" t="s">
        <v>24</v>
      </c>
      <c r="G14" s="3" t="s">
        <v>28</v>
      </c>
      <c r="H14" s="3" t="str">
        <f t="shared" si="1"/>
        <v>Certified from one to five stars</v>
      </c>
      <c r="I14" s="4">
        <v>49</v>
      </c>
      <c r="J14" s="4">
        <v>49</v>
      </c>
      <c r="K14" s="4"/>
      <c r="L14" s="4">
        <f t="shared" si="2"/>
        <v>31.962157924652121</v>
      </c>
      <c r="M14" s="131">
        <v>1.832415845779291E-3</v>
      </c>
      <c r="N14" s="70">
        <v>229</v>
      </c>
      <c r="O14" s="70">
        <f>IF(INDEX('Res Measure Mapping'!$R:$R,MATCH($D14,'Res Measure Mapping'!$B:$B,0))="N/A",N14,INDEX('Res Measure Mapping'!$R:$R,MATCH($D14,'Res Measure Mapping'!$B:$B,0)))</f>
        <v>29.106556729243202</v>
      </c>
      <c r="P14" s="70" t="str">
        <f>INDEX('Res Measure Mapping'!$S:$S,MATCH($D14,'Res Measure Mapping'!$B:$B,0))</f>
        <v>household</v>
      </c>
      <c r="Q14" s="70">
        <f t="shared" ref="Q14:Q34" si="18">O14</f>
        <v>29.106556729243202</v>
      </c>
      <c r="R14" s="135">
        <f t="shared" si="4"/>
        <v>930.30836282291716</v>
      </c>
      <c r="S14" s="5">
        <v>1142</v>
      </c>
      <c r="T14" s="76">
        <f>IF(INDEX('Res Measure Mapping'!$T:$T,MATCH($D14,'Res Measure Mapping'!$B:$B,0))="N/A",S14,INDEX('Res Measure Mapping'!$T:$T,MATCH($D14,'Res Measure Mapping'!$B:$B,0)))</f>
        <v>2154.5300000000002</v>
      </c>
      <c r="U14" s="5">
        <f t="shared" ref="U14:U48" si="19">T14</f>
        <v>2154.5300000000002</v>
      </c>
      <c r="V14" s="5">
        <f t="shared" si="6"/>
        <v>25.74973594426622</v>
      </c>
      <c r="W14" s="5">
        <f t="shared" si="7"/>
        <v>68863.428113400747</v>
      </c>
      <c r="X14" s="6">
        <f t="shared" si="8"/>
        <v>68040.410986632021</v>
      </c>
      <c r="Y14" s="4">
        <v>30</v>
      </c>
      <c r="Z14" s="70">
        <f>IF(INDEX('Res Measure Mapping'!$U:$U,MATCH($D14,'Res Measure Mapping'!$B:$B,0))="N/A",Y14,INDEX('Res Measure Mapping'!$U:$U,MATCH($D14,'Res Measure Mapping'!$B:$B,0)))</f>
        <v>30</v>
      </c>
      <c r="AA14" s="4">
        <f t="shared" si="11"/>
        <v>30</v>
      </c>
      <c r="AB14" s="4">
        <f t="shared" si="9"/>
        <v>17326.676353025854</v>
      </c>
      <c r="AC14" s="4">
        <f t="shared" si="9"/>
        <v>17326.676353025854</v>
      </c>
      <c r="AD14" s="7">
        <f t="shared" si="10"/>
        <v>2784.6673883554154</v>
      </c>
      <c r="AE14" s="5">
        <v>2000</v>
      </c>
      <c r="AF14" s="76">
        <f>ROUND(IF(INDEX('Res Measure Mapping'!$V:$V,MATCH($D14,'Res Measure Mapping'!$B:$B,0))="N/A",AE14,INDEX('Res Measure Mapping'!$V:$V,MATCH($D14,'Res Measure Mapping'!$B:$B,0))),0)</f>
        <v>200</v>
      </c>
      <c r="AG14" s="70" t="str">
        <f>INDEX('Res Measure Mapping'!$S:$S,MATCH($D14,'Res Measure Mapping'!$B:$B,0))</f>
        <v>household</v>
      </c>
      <c r="AH14" s="5">
        <v>600</v>
      </c>
      <c r="AI14" s="5">
        <f t="shared" si="17"/>
        <v>19177.294754791274</v>
      </c>
      <c r="AJ14" s="8">
        <f t="shared" si="13"/>
        <v>1.1068074663634053</v>
      </c>
      <c r="AK14" s="8">
        <f t="shared" si="14"/>
        <v>1.267523078037488</v>
      </c>
      <c r="AL14" s="81">
        <f>IF($B$2="Original",IF($AI14=0,"-",(VLOOKUP(Y14,'APP 2885'!$B$10:$G$54,6)*$R14)/($AI14+$AD14)),IF($AI14=0,"-",(VLOOKUP(AA14,'APP 2885'!$B$10:$G$54,6)*$R14)/($AI14+$AD14)))</f>
        <v>1.4765641181412967</v>
      </c>
      <c r="AM14" s="9">
        <f t="shared" si="15"/>
        <v>3.9269164841732467</v>
      </c>
      <c r="AN14" s="10">
        <f t="shared" si="16"/>
        <v>4.0876320958473293</v>
      </c>
      <c r="AO14" s="107">
        <f>IF($B$2="Original",IF($AI14=0,"-",(VLOOKUP(Y14,'APP 2885'!$B$10:$G$54,4)*$R14)/($X14+$AD14)),IF($AI14=0,"-",(VLOOKUP(AA14,'APP 2885'!$B$10:$G$54,4)*$R14)/($X14+$AD14)))</f>
        <v>0.41623989191633665</v>
      </c>
    </row>
    <row r="15" spans="1:41" ht="20.100000000000001" customHeight="1" thickBot="1" x14ac:dyDescent="0.3">
      <c r="C15" s="119">
        <v>1</v>
      </c>
      <c r="D15" s="55" t="str">
        <f t="shared" si="0"/>
        <v>Built Green Certified Home_Zone 3_Certified from one to five stars</v>
      </c>
      <c r="E15" s="11" t="s">
        <v>27</v>
      </c>
      <c r="F15" s="11" t="s">
        <v>24</v>
      </c>
      <c r="G15" s="11" t="s">
        <v>28</v>
      </c>
      <c r="H15" s="11" t="str">
        <f t="shared" si="1"/>
        <v>Certified from one to five stars</v>
      </c>
      <c r="I15" s="12">
        <v>3</v>
      </c>
      <c r="J15" s="12">
        <v>3</v>
      </c>
      <c r="K15" s="12"/>
      <c r="L15" s="12">
        <f t="shared" si="2"/>
        <v>31.962157924652121</v>
      </c>
      <c r="M15" s="132">
        <v>1.832415845779291E-3</v>
      </c>
      <c r="N15" s="71">
        <v>210</v>
      </c>
      <c r="O15" s="73">
        <f>IF(INDEX('Res Measure Mapping'!$R:$R,MATCH($D15,'Res Measure Mapping'!$B:$B,0))="N/A",N15,INDEX('Res Measure Mapping'!$R:$R,MATCH($D15,'Res Measure Mapping'!$B:$B,0)))</f>
        <v>29.106556729243202</v>
      </c>
      <c r="P15" s="73" t="str">
        <f>INDEX('Res Measure Mapping'!$S:$S,MATCH($D15,'Res Measure Mapping'!$B:$B,0))</f>
        <v>household</v>
      </c>
      <c r="Q15" s="71">
        <f t="shared" si="18"/>
        <v>29.106556729243202</v>
      </c>
      <c r="R15" s="136">
        <f t="shared" si="4"/>
        <v>930.30836282291716</v>
      </c>
      <c r="S15" s="13">
        <v>1142</v>
      </c>
      <c r="T15" s="77">
        <f>IF(INDEX('Res Measure Mapping'!$T:$T,MATCH($D15,'Res Measure Mapping'!$B:$B,0))="N/A",S15,INDEX('Res Measure Mapping'!$T:$T,MATCH($D15,'Res Measure Mapping'!$B:$B,0)))</f>
        <v>2154.5300000000002</v>
      </c>
      <c r="U15" s="13">
        <f t="shared" si="19"/>
        <v>2154.5300000000002</v>
      </c>
      <c r="V15" s="13">
        <f t="shared" si="6"/>
        <v>25.74973594426622</v>
      </c>
      <c r="W15" s="13">
        <f t="shared" si="7"/>
        <v>68863.428113400747</v>
      </c>
      <c r="X15" s="14">
        <f t="shared" si="8"/>
        <v>68040.410986632021</v>
      </c>
      <c r="Y15" s="12">
        <v>30</v>
      </c>
      <c r="Z15" s="73">
        <f>IF(INDEX('Res Measure Mapping'!$U:$U,MATCH($D15,'Res Measure Mapping'!$B:$B,0))="N/A",Y15,INDEX('Res Measure Mapping'!$U:$U,MATCH($D15,'Res Measure Mapping'!$B:$B,0)))</f>
        <v>30</v>
      </c>
      <c r="AA15" s="12">
        <f t="shared" si="11"/>
        <v>30</v>
      </c>
      <c r="AB15" s="12">
        <f t="shared" si="9"/>
        <v>17326.676353025854</v>
      </c>
      <c r="AC15" s="12">
        <f t="shared" si="9"/>
        <v>17326.676353025854</v>
      </c>
      <c r="AD15" s="15">
        <f t="shared" si="10"/>
        <v>2784.6673883554154</v>
      </c>
      <c r="AE15" s="13">
        <v>2000</v>
      </c>
      <c r="AF15" s="77">
        <f>ROUND(IF(INDEX('Res Measure Mapping'!$V:$V,MATCH($D15,'Res Measure Mapping'!$B:$B,0))="N/A",AE15,INDEX('Res Measure Mapping'!$V:$V,MATCH($D15,'Res Measure Mapping'!$B:$B,0))),0)</f>
        <v>200</v>
      </c>
      <c r="AG15" s="73" t="str">
        <f>INDEX('Res Measure Mapping'!$S:$S,MATCH($D15,'Res Measure Mapping'!$B:$B,0))</f>
        <v>household</v>
      </c>
      <c r="AH15" s="13">
        <v>600</v>
      </c>
      <c r="AI15" s="13">
        <f t="shared" si="17"/>
        <v>19177.294754791274</v>
      </c>
      <c r="AJ15" s="16">
        <f t="shared" si="13"/>
        <v>1.1068074663634053</v>
      </c>
      <c r="AK15" s="16">
        <f t="shared" si="14"/>
        <v>1.267523078037488</v>
      </c>
      <c r="AL15" s="82">
        <f>IF($B$2="Original",IF($AI15=0,"-",(VLOOKUP(Y15,'APP 2885'!$B$10:$G$54,6)*$R15)/($AI15+$AD15)),IF($AI15=0,"-",(VLOOKUP(AA15,'APP 2885'!$B$10:$G$54,6)*$R15)/($AI15+$AD15)))</f>
        <v>1.4765641181412967</v>
      </c>
      <c r="AM15" s="17">
        <f t="shared" si="15"/>
        <v>3.9269164841732467</v>
      </c>
      <c r="AN15" s="18">
        <f t="shared" si="16"/>
        <v>4.0876320958473293</v>
      </c>
      <c r="AO15" s="108">
        <f>IF($B$2="Original",IF($AI15=0,"-",(VLOOKUP(Y15,'APP 2885'!$B$10:$G$54,4)*$R15)/($X15+$AD15)),IF($AI15=0,"-",(VLOOKUP(AA15,'APP 2885'!$B$10:$G$54,4)*$R15)/($X15+$AD15)))</f>
        <v>0.41623989191633665</v>
      </c>
    </row>
    <row r="16" spans="1:41" ht="20.100000000000001" customHeight="1" thickBot="1" x14ac:dyDescent="0.3">
      <c r="C16" s="119">
        <v>3</v>
      </c>
      <c r="D16" s="55" t="str">
        <f t="shared" si="0"/>
        <v>Ceiling Tier I_Zone 1_Tier 1: Post R-38+</v>
      </c>
      <c r="E16" s="3" t="s">
        <v>31</v>
      </c>
      <c r="F16" s="3" t="s">
        <v>21</v>
      </c>
      <c r="G16" s="3" t="s">
        <v>32</v>
      </c>
      <c r="H16" s="3" t="str">
        <f t="shared" si="1"/>
        <v>Tier 1: Post R-38+</v>
      </c>
      <c r="I16" s="4">
        <v>11</v>
      </c>
      <c r="J16" s="4">
        <v>11</v>
      </c>
      <c r="K16" s="4">
        <v>8345</v>
      </c>
      <c r="L16" s="4">
        <v>0</v>
      </c>
      <c r="M16" s="131">
        <v>0</v>
      </c>
      <c r="N16" s="70">
        <v>6.2E-2</v>
      </c>
      <c r="O16" s="70">
        <f>IF(INDEX('Res Measure Mapping'!$R:$R,MATCH($D16,'Res Measure Mapping'!$B:$B,0))="N/A",N16,INDEX('Res Measure Mapping'!$R:$R,MATCH($D16,'Res Measure Mapping'!$B:$B,0)))</f>
        <v>0.15715086997503622</v>
      </c>
      <c r="P16" s="70" t="str">
        <f>INDEX('Res Measure Mapping'!$S:$S,MATCH($D16,'Res Measure Mapping'!$B:$B,0))</f>
        <v>sqft roof</v>
      </c>
      <c r="Q16" s="70">
        <v>0</v>
      </c>
      <c r="R16" s="135">
        <f t="shared" si="4"/>
        <v>0</v>
      </c>
      <c r="S16" s="5">
        <v>0.67</v>
      </c>
      <c r="T16" s="76">
        <f>IF(INDEX('Res Measure Mapping'!$T:$T,MATCH($D16,'Res Measure Mapping'!$B:$B,0))="N/A",S16,INDEX('Res Measure Mapping'!$T:$T,MATCH($D16,'Res Measure Mapping'!$B:$B,0)))</f>
        <v>1.37</v>
      </c>
      <c r="U16" s="5">
        <f t="shared" si="19"/>
        <v>1.37</v>
      </c>
      <c r="V16" s="5">
        <f t="shared" si="6"/>
        <v>0</v>
      </c>
      <c r="W16" s="5">
        <f t="shared" si="7"/>
        <v>0</v>
      </c>
      <c r="X16" s="6">
        <f t="shared" si="8"/>
        <v>0</v>
      </c>
      <c r="Y16" s="4">
        <v>45</v>
      </c>
      <c r="Z16" s="70">
        <f>IF(INDEX('Res Measure Mapping'!$U:$U,MATCH($D16,'Res Measure Mapping'!$B:$B,0))="N/A",Y16,INDEX('Res Measure Mapping'!$U:$U,MATCH($D16,'Res Measure Mapping'!$B:$B,0)))</f>
        <v>45</v>
      </c>
      <c r="AA16" s="4">
        <f t="shared" si="11"/>
        <v>45</v>
      </c>
      <c r="AB16" s="4">
        <f t="shared" si="9"/>
        <v>0</v>
      </c>
      <c r="AC16" s="4">
        <f t="shared" si="9"/>
        <v>0</v>
      </c>
      <c r="AD16" s="7">
        <f t="shared" si="10"/>
        <v>0</v>
      </c>
      <c r="AE16" s="5">
        <v>0.75</v>
      </c>
      <c r="AF16" s="76">
        <f>ROUND(IF(INDEX('Res Measure Mapping'!$V:$V,MATCH($D16,'Res Measure Mapping'!$B:$B,0))="N/A",AE16,INDEX('Res Measure Mapping'!$V:$V,MATCH($D16,'Res Measure Mapping'!$B:$B,0))),0)</f>
        <v>1</v>
      </c>
      <c r="AG16" s="70" t="str">
        <f>INDEX('Res Measure Mapping'!$S:$S,MATCH($D16,'Res Measure Mapping'!$B:$B,0))</f>
        <v>sqft roof</v>
      </c>
      <c r="AH16" s="5">
        <v>0</v>
      </c>
      <c r="AI16" s="5">
        <f t="shared" si="17"/>
        <v>0</v>
      </c>
      <c r="AJ16" s="8">
        <f t="shared" si="13"/>
        <v>0</v>
      </c>
      <c r="AK16" s="8">
        <f t="shared" si="14"/>
        <v>0</v>
      </c>
      <c r="AL16" s="81" t="str">
        <f>IF($B$2="Original",IF($AI16=0,"-",(VLOOKUP(Y16,'APP 2885'!$B$10:$G$54,6)*$R16)/($AI16+$AD16)),IF($AI16=0,"-",(VLOOKUP(AA16,'APP 2885'!$B$10:$G$54,6)*$R16)/($AI16+$AD16)))</f>
        <v>-</v>
      </c>
      <c r="AM16" s="9">
        <f t="shared" si="15"/>
        <v>0</v>
      </c>
      <c r="AN16" s="10">
        <f t="shared" si="16"/>
        <v>0</v>
      </c>
      <c r="AO16" s="107" t="str">
        <f>IF($B$2="Original",IF($AI16=0,"-",(VLOOKUP(Y16,'APP 2885'!$B$10:$G$54,4)*$R16)/($X16+$AD16)),IF($AI16=0,"-",(VLOOKUP(AA16,'APP 2885'!$B$10:$G$54,4)*$R16)/($X16+$AD16)))</f>
        <v>-</v>
      </c>
    </row>
    <row r="17" spans="3:41" ht="20.100000000000001" customHeight="1" thickBot="1" x14ac:dyDescent="0.3">
      <c r="C17" s="119">
        <v>3</v>
      </c>
      <c r="D17" s="55" t="str">
        <f t="shared" si="0"/>
        <v>Ceiling Tier I_Zone 2_Tier 1: Post R-38+</v>
      </c>
      <c r="E17" s="11" t="s">
        <v>31</v>
      </c>
      <c r="F17" s="11" t="s">
        <v>23</v>
      </c>
      <c r="G17" s="11" t="s">
        <v>32</v>
      </c>
      <c r="H17" s="11" t="str">
        <f t="shared" si="1"/>
        <v>Tier 1: Post R-38+</v>
      </c>
      <c r="I17" s="12">
        <v>2</v>
      </c>
      <c r="J17" s="12">
        <v>2</v>
      </c>
      <c r="K17" s="12">
        <v>2239</v>
      </c>
      <c r="L17" s="12">
        <v>0</v>
      </c>
      <c r="M17" s="132">
        <v>0</v>
      </c>
      <c r="N17" s="71">
        <v>5.7000000000000002E-2</v>
      </c>
      <c r="O17" s="73">
        <f>IF(INDEX('Res Measure Mapping'!$R:$R,MATCH($D17,'Res Measure Mapping'!$B:$B,0))="N/A",N17,INDEX('Res Measure Mapping'!$R:$R,MATCH($D17,'Res Measure Mapping'!$B:$B,0)))</f>
        <v>0.17763100522443787</v>
      </c>
      <c r="P17" s="73" t="str">
        <f>INDEX('Res Measure Mapping'!$S:$S,MATCH($D17,'Res Measure Mapping'!$B:$B,0))</f>
        <v>sqft roof</v>
      </c>
      <c r="Q17" s="71">
        <v>0</v>
      </c>
      <c r="R17" s="136">
        <f t="shared" si="4"/>
        <v>0</v>
      </c>
      <c r="S17" s="13">
        <v>0.67</v>
      </c>
      <c r="T17" s="77">
        <f>IF(INDEX('Res Measure Mapping'!$T:$T,MATCH($D17,'Res Measure Mapping'!$B:$B,0))="N/A",S17,INDEX('Res Measure Mapping'!$T:$T,MATCH($D17,'Res Measure Mapping'!$B:$B,0)))</f>
        <v>1.37</v>
      </c>
      <c r="U17" s="13">
        <f t="shared" si="19"/>
        <v>1.37</v>
      </c>
      <c r="V17" s="13">
        <f t="shared" si="6"/>
        <v>0</v>
      </c>
      <c r="W17" s="13">
        <f t="shared" si="7"/>
        <v>0</v>
      </c>
      <c r="X17" s="14">
        <f t="shared" si="8"/>
        <v>0</v>
      </c>
      <c r="Y17" s="12">
        <v>45</v>
      </c>
      <c r="Z17" s="73">
        <f>IF(INDEX('Res Measure Mapping'!$U:$U,MATCH($D17,'Res Measure Mapping'!$B:$B,0))="N/A",Y17,INDEX('Res Measure Mapping'!$U:$U,MATCH($D17,'Res Measure Mapping'!$B:$B,0)))</f>
        <v>45</v>
      </c>
      <c r="AA17" s="12">
        <f t="shared" si="11"/>
        <v>45</v>
      </c>
      <c r="AB17" s="12">
        <f t="shared" si="9"/>
        <v>0</v>
      </c>
      <c r="AC17" s="12">
        <f t="shared" si="9"/>
        <v>0</v>
      </c>
      <c r="AD17" s="15">
        <f t="shared" si="10"/>
        <v>0</v>
      </c>
      <c r="AE17" s="13">
        <v>0.75</v>
      </c>
      <c r="AF17" s="77">
        <f>ROUND(IF(INDEX('Res Measure Mapping'!$V:$V,MATCH($D17,'Res Measure Mapping'!$B:$B,0))="N/A",AE17,INDEX('Res Measure Mapping'!$V:$V,MATCH($D17,'Res Measure Mapping'!$B:$B,0))),0)</f>
        <v>1</v>
      </c>
      <c r="AG17" s="73" t="str">
        <f>INDEX('Res Measure Mapping'!$S:$S,MATCH($D17,'Res Measure Mapping'!$B:$B,0))</f>
        <v>sqft roof</v>
      </c>
      <c r="AH17" s="13">
        <v>0</v>
      </c>
      <c r="AI17" s="13">
        <f t="shared" si="17"/>
        <v>0</v>
      </c>
      <c r="AJ17" s="16">
        <f t="shared" si="13"/>
        <v>0</v>
      </c>
      <c r="AK17" s="16">
        <f t="shared" si="14"/>
        <v>0</v>
      </c>
      <c r="AL17" s="82" t="str">
        <f>IF($B$2="Original",IF($AI17=0,"-",(VLOOKUP(Y17,'APP 2885'!$B$10:$G$54,6)*$R17)/($AI17+$AD17)),IF($AI17=0,"-",(VLOOKUP(AA17,'APP 2885'!$B$10:$G$54,6)*$R17)/($AI17+$AD17)))</f>
        <v>-</v>
      </c>
      <c r="AM17" s="17">
        <f t="shared" si="15"/>
        <v>0</v>
      </c>
      <c r="AN17" s="18">
        <f t="shared" si="16"/>
        <v>0</v>
      </c>
      <c r="AO17" s="108" t="str">
        <f>IF($B$2="Original",IF($AI17=0,"-",(VLOOKUP(Y17,'APP 2885'!$B$10:$G$54,4)*$R17)/($X17+$AD17)),IF($AI17=0,"-",(VLOOKUP(AA17,'APP 2885'!$B$10:$G$54,4)*$R17)/($X17+$AD17)))</f>
        <v>-</v>
      </c>
    </row>
    <row r="18" spans="3:41" ht="20.100000000000001" customHeight="1" thickBot="1" x14ac:dyDescent="0.3">
      <c r="C18" s="119">
        <v>3</v>
      </c>
      <c r="D18" s="55" t="str">
        <f t="shared" si="0"/>
        <v>Ceiling Tier I_Zone 3_Tier 1: Post R-38+</v>
      </c>
      <c r="E18" s="3" t="s">
        <v>31</v>
      </c>
      <c r="F18" s="3" t="s">
        <v>24</v>
      </c>
      <c r="G18" s="3" t="s">
        <v>32</v>
      </c>
      <c r="H18" s="3" t="str">
        <f t="shared" si="1"/>
        <v>Tier 1: Post R-38+</v>
      </c>
      <c r="I18" s="4">
        <v>4</v>
      </c>
      <c r="J18" s="4">
        <v>5</v>
      </c>
      <c r="K18" s="4">
        <v>2547</v>
      </c>
      <c r="L18" s="4">
        <v>0</v>
      </c>
      <c r="M18" s="131">
        <v>0</v>
      </c>
      <c r="N18" s="70">
        <v>6.7000000000000004E-2</v>
      </c>
      <c r="O18" s="70">
        <f>IF(INDEX('Res Measure Mapping'!$R:$R,MATCH($D18,'Res Measure Mapping'!$B:$B,0))="N/A",N18,INDEX('Res Measure Mapping'!$R:$R,MATCH($D18,'Res Measure Mapping'!$B:$B,0)))</f>
        <v>0.11968715837423201</v>
      </c>
      <c r="P18" s="70" t="str">
        <f>INDEX('Res Measure Mapping'!$S:$S,MATCH($D18,'Res Measure Mapping'!$B:$B,0))</f>
        <v>sqft roof</v>
      </c>
      <c r="Q18" s="70">
        <v>0</v>
      </c>
      <c r="R18" s="135">
        <f t="shared" si="4"/>
        <v>0</v>
      </c>
      <c r="S18" s="5">
        <v>0.67</v>
      </c>
      <c r="T18" s="76">
        <f>IF(INDEX('Res Measure Mapping'!$T:$T,MATCH($D18,'Res Measure Mapping'!$B:$B,0))="N/A",S18,INDEX('Res Measure Mapping'!$T:$T,MATCH($D18,'Res Measure Mapping'!$B:$B,0)))</f>
        <v>1.37</v>
      </c>
      <c r="U18" s="5">
        <f t="shared" si="19"/>
        <v>1.37</v>
      </c>
      <c r="V18" s="5">
        <f t="shared" si="6"/>
        <v>0</v>
      </c>
      <c r="W18" s="5">
        <f t="shared" si="7"/>
        <v>0</v>
      </c>
      <c r="X18" s="6">
        <f t="shared" si="8"/>
        <v>0</v>
      </c>
      <c r="Y18" s="4">
        <v>45</v>
      </c>
      <c r="Z18" s="70">
        <f>IF(INDEX('Res Measure Mapping'!$U:$U,MATCH($D18,'Res Measure Mapping'!$B:$B,0))="N/A",Y18,INDEX('Res Measure Mapping'!$U:$U,MATCH($D18,'Res Measure Mapping'!$B:$B,0)))</f>
        <v>45</v>
      </c>
      <c r="AA18" s="4">
        <f t="shared" si="11"/>
        <v>45</v>
      </c>
      <c r="AB18" s="4">
        <f t="shared" si="9"/>
        <v>0</v>
      </c>
      <c r="AC18" s="4">
        <f t="shared" si="9"/>
        <v>0</v>
      </c>
      <c r="AD18" s="7">
        <f t="shared" si="10"/>
        <v>0</v>
      </c>
      <c r="AE18" s="5">
        <v>0.75</v>
      </c>
      <c r="AF18" s="76">
        <f>ROUND(IF(INDEX('Res Measure Mapping'!$V:$V,MATCH($D18,'Res Measure Mapping'!$B:$B,0))="N/A",AE18,INDEX('Res Measure Mapping'!$V:$V,MATCH($D18,'Res Measure Mapping'!$B:$B,0))),0)</f>
        <v>1</v>
      </c>
      <c r="AG18" s="70" t="str">
        <f>INDEX('Res Measure Mapping'!$S:$S,MATCH($D18,'Res Measure Mapping'!$B:$B,0))</f>
        <v>sqft roof</v>
      </c>
      <c r="AH18" s="5">
        <v>0</v>
      </c>
      <c r="AI18" s="5">
        <f t="shared" si="17"/>
        <v>0</v>
      </c>
      <c r="AJ18" s="8">
        <f t="shared" si="13"/>
        <v>0</v>
      </c>
      <c r="AK18" s="8">
        <f t="shared" si="14"/>
        <v>0</v>
      </c>
      <c r="AL18" s="81" t="str">
        <f>IF($B$2="Original",IF($AI18=0,"-",(VLOOKUP(Y18,'APP 2885'!$B$10:$G$54,6)*$R18)/($AI18+$AD18)),IF($AI18=0,"-",(VLOOKUP(AA18,'APP 2885'!$B$10:$G$54,6)*$R18)/($AI18+$AD18)))</f>
        <v>-</v>
      </c>
      <c r="AM18" s="9">
        <f t="shared" si="15"/>
        <v>0</v>
      </c>
      <c r="AN18" s="10">
        <f t="shared" si="16"/>
        <v>0</v>
      </c>
      <c r="AO18" s="107" t="str">
        <f>IF($B$2="Original",IF($AI18=0,"-",(VLOOKUP(Y18,'APP 2885'!$B$10:$G$54,4)*$R18)/($X18+$AD18)),IF($AI18=0,"-",(VLOOKUP(AA18,'APP 2885'!$B$10:$G$54,4)*$R18)/($X18+$AD18)))</f>
        <v>-</v>
      </c>
    </row>
    <row r="19" spans="3:41" ht="20.100000000000001" customHeight="1" thickBot="1" x14ac:dyDescent="0.3">
      <c r="C19" s="119">
        <v>4</v>
      </c>
      <c r="D19" s="55" t="str">
        <f t="shared" si="0"/>
        <v>Ceiling Tier II_Zone 1_Tier 2: Post R-49+</v>
      </c>
      <c r="E19" s="11" t="s">
        <v>33</v>
      </c>
      <c r="F19" s="11" t="s">
        <v>21</v>
      </c>
      <c r="G19" s="11" t="s">
        <v>34</v>
      </c>
      <c r="H19" s="11" t="str">
        <f t="shared" si="1"/>
        <v>Tier 2: Post R-49+</v>
      </c>
      <c r="I19" s="12">
        <v>171</v>
      </c>
      <c r="J19" s="12">
        <v>171</v>
      </c>
      <c r="K19" s="12">
        <v>197667</v>
      </c>
      <c r="L19" s="12">
        <f t="shared" ref="L19:L71" si="20">(R19/Q19)</f>
        <v>481856.81098034768</v>
      </c>
      <c r="M19" s="132">
        <v>3.7882752319110875E-2</v>
      </c>
      <c r="N19" s="71">
        <v>7.3999999999999996E-2</v>
      </c>
      <c r="O19" s="73">
        <f>IF(INDEX('Res Measure Mapping'!$R:$R,MATCH($D19,'Res Measure Mapping'!$B:$B,0))="N/A",N19,INDEX('Res Measure Mapping'!$R:$R,MATCH($D19,'Res Measure Mapping'!$B:$B,0)))</f>
        <v>3.9914106224878912E-2</v>
      </c>
      <c r="P19" s="73" t="str">
        <f>INDEX('Res Measure Mapping'!$S:$S,MATCH($D19,'Res Measure Mapping'!$B:$B,0))</f>
        <v>sqft roof</v>
      </c>
      <c r="Q19" s="71">
        <f t="shared" si="18"/>
        <v>3.9914106224878912E-2</v>
      </c>
      <c r="R19" s="136">
        <f t="shared" si="4"/>
        <v>19232.883938650997</v>
      </c>
      <c r="S19" s="13">
        <v>0.67</v>
      </c>
      <c r="T19" s="77">
        <f>IF(INDEX('Res Measure Mapping'!$T:$T,MATCH($D19,'Res Measure Mapping'!$B:$B,0))="N/A",S19,INDEX('Res Measure Mapping'!$T:$T,MATCH($D19,'Res Measure Mapping'!$B:$B,0)))</f>
        <v>1.17</v>
      </c>
      <c r="U19" s="13">
        <f t="shared" si="19"/>
        <v>1.17</v>
      </c>
      <c r="V19" s="13">
        <f t="shared" si="6"/>
        <v>4.337675978443864E-2</v>
      </c>
      <c r="W19" s="13">
        <f t="shared" si="7"/>
        <v>563772.46884700679</v>
      </c>
      <c r="X19" s="14">
        <f t="shared" si="8"/>
        <v>542871.08170661656</v>
      </c>
      <c r="Y19" s="12">
        <v>45</v>
      </c>
      <c r="Z19" s="73">
        <f>IF(INDEX('Res Measure Mapping'!$U:$U,MATCH($D19,'Res Measure Mapping'!$B:$B,0))="N/A",Y19,INDEX('Res Measure Mapping'!$U:$U,MATCH($D19,'Res Measure Mapping'!$B:$B,0)))</f>
        <v>45</v>
      </c>
      <c r="AA19" s="12">
        <f t="shared" si="11"/>
        <v>45</v>
      </c>
      <c r="AB19" s="12">
        <f t="shared" si="9"/>
        <v>440029.20295558311</v>
      </c>
      <c r="AC19" s="12">
        <f t="shared" si="9"/>
        <v>440029.20295558311</v>
      </c>
      <c r="AD19" s="15">
        <f t="shared" si="10"/>
        <v>57569.282216783227</v>
      </c>
      <c r="AE19" s="13">
        <v>1</v>
      </c>
      <c r="AF19" s="77">
        <v>1.25</v>
      </c>
      <c r="AG19" s="73" t="str">
        <f>INDEX('Res Measure Mapping'!$S:$S,MATCH($D19,'Res Measure Mapping'!$B:$B,0))</f>
        <v>sqft roof</v>
      </c>
      <c r="AH19" s="13">
        <f>AF19</f>
        <v>1.25</v>
      </c>
      <c r="AI19" s="13">
        <f t="shared" si="17"/>
        <v>602321.01372543466</v>
      </c>
      <c r="AJ19" s="16">
        <f t="shared" si="13"/>
        <v>1.3688205457269012</v>
      </c>
      <c r="AK19" s="16">
        <f t="shared" si="14"/>
        <v>1.4996511402194999</v>
      </c>
      <c r="AL19" s="82">
        <f>IF($B$2="Original",IF($AI19=0,"-",(VLOOKUP(Y19,'APP 2885'!$B$10:$G$54,6)*$R19)/($AI19+$AD19)),IF($AI19=0,"-",(VLOOKUP(AA19,'APP 2885'!$B$10:$G$54,6)*$R19)/($AI19+$AD19)))</f>
        <v>1.7856513639929406</v>
      </c>
      <c r="AM19" s="17">
        <f t="shared" si="15"/>
        <v>1.2337160308003794</v>
      </c>
      <c r="AN19" s="18">
        <f t="shared" si="16"/>
        <v>1.3645466252929779</v>
      </c>
      <c r="AO19" s="108">
        <f>IF($B$2="Original",IF($AI19=0,"-",(VLOOKUP(Y19,'APP 2885'!$B$10:$G$54,4)*$R19)/($X19+$AD19)),IF($AI19=0,"-",(VLOOKUP(AA19,'APP 2885'!$B$10:$G$54,4)*$R19)/($X19+$AD19)))</f>
        <v>1.7840451742261172</v>
      </c>
    </row>
    <row r="20" spans="3:41" ht="20.100000000000001" customHeight="1" thickBot="1" x14ac:dyDescent="0.3">
      <c r="C20" s="119">
        <v>4</v>
      </c>
      <c r="D20" s="55" t="str">
        <f t="shared" si="0"/>
        <v>Ceiling Tier II_Zone 2_Tier 2: Post R-49+</v>
      </c>
      <c r="E20" s="3" t="s">
        <v>33</v>
      </c>
      <c r="F20" s="3" t="s">
        <v>23</v>
      </c>
      <c r="G20" s="3" t="s">
        <v>34</v>
      </c>
      <c r="H20" s="3" t="str">
        <f t="shared" si="1"/>
        <v>Tier 2: Post R-49+</v>
      </c>
      <c r="I20" s="4">
        <v>38</v>
      </c>
      <c r="J20" s="4">
        <v>38</v>
      </c>
      <c r="K20" s="4">
        <v>40798</v>
      </c>
      <c r="L20" s="4">
        <f t="shared" si="20"/>
        <v>215976.56278701342</v>
      </c>
      <c r="M20" s="131">
        <v>1.9741100593063252E-2</v>
      </c>
      <c r="N20" s="70">
        <v>6.8000000000000005E-2</v>
      </c>
      <c r="O20" s="70">
        <f>IF(INDEX('Res Measure Mapping'!$R:$R,MATCH($D20,'Res Measure Mapping'!$B:$B,0))="N/A",N20,INDEX('Res Measure Mapping'!$R:$R,MATCH($D20,'Res Measure Mapping'!$B:$B,0)))</f>
        <v>4.640530405828782E-2</v>
      </c>
      <c r="P20" s="70" t="str">
        <f>INDEX('Res Measure Mapping'!$S:$S,MATCH($D20,'Res Measure Mapping'!$B:$B,0))</f>
        <v>sqft roof</v>
      </c>
      <c r="Q20" s="70">
        <f t="shared" si="18"/>
        <v>4.640530405828782E-2</v>
      </c>
      <c r="R20" s="135">
        <f t="shared" si="4"/>
        <v>10022.458065595249</v>
      </c>
      <c r="S20" s="5">
        <v>0.67</v>
      </c>
      <c r="T20" s="76">
        <f>IF(INDEX('Res Measure Mapping'!$T:$T,MATCH($D20,'Res Measure Mapping'!$B:$B,0))="N/A",S20,INDEX('Res Measure Mapping'!$T:$T,MATCH($D20,'Res Measure Mapping'!$B:$B,0)))</f>
        <v>1.17</v>
      </c>
      <c r="U20" s="5">
        <f t="shared" si="19"/>
        <v>1.17</v>
      </c>
      <c r="V20" s="5">
        <f t="shared" si="6"/>
        <v>5.0431086080677812E-2</v>
      </c>
      <c r="W20" s="5">
        <f t="shared" si="7"/>
        <v>252692.57846080567</v>
      </c>
      <c r="X20" s="6">
        <f t="shared" si="8"/>
        <v>241800.64583148487</v>
      </c>
      <c r="Y20" s="4">
        <v>45</v>
      </c>
      <c r="Z20" s="70">
        <f>IF(INDEX('Res Measure Mapping'!$U:$U,MATCH($D20,'Res Measure Mapping'!$B:$B,0))="N/A",Y20,INDEX('Res Measure Mapping'!$U:$U,MATCH($D20,'Res Measure Mapping'!$B:$B,0)))</f>
        <v>45</v>
      </c>
      <c r="AA20" s="4">
        <f t="shared" si="11"/>
        <v>45</v>
      </c>
      <c r="AB20" s="4">
        <f t="shared" si="9"/>
        <v>229303.84482780608</v>
      </c>
      <c r="AC20" s="4">
        <f t="shared" si="9"/>
        <v>229303.84482780608</v>
      </c>
      <c r="AD20" s="7">
        <f t="shared" si="10"/>
        <v>29999.958338260432</v>
      </c>
      <c r="AE20" s="5">
        <v>1</v>
      </c>
      <c r="AF20" s="76">
        <v>1.25</v>
      </c>
      <c r="AG20" s="70" t="str">
        <f>INDEX('Res Measure Mapping'!$S:$S,MATCH($D20,'Res Measure Mapping'!$B:$B,0))</f>
        <v>sqft roof</v>
      </c>
      <c r="AH20" s="5">
        <f>AF20</f>
        <v>1.25</v>
      </c>
      <c r="AI20" s="5">
        <f t="shared" si="17"/>
        <v>269970.70348376676</v>
      </c>
      <c r="AJ20" s="8">
        <f t="shared" si="13"/>
        <v>1.1773492227594313</v>
      </c>
      <c r="AK20" s="8">
        <f t="shared" si="14"/>
        <v>1.3081798172520298</v>
      </c>
      <c r="AL20" s="81">
        <f>IF($B$2="Original",IF($AI20=0,"-",(VLOOKUP(Y20,'APP 2885'!$B$10:$G$54,6)*$R20)/($AI20+$AD20)),IF($AI20=0,"-",(VLOOKUP(AA20,'APP 2885'!$B$10:$G$54,6)*$R20)/($AI20+$AD20)))</f>
        <v>2.0470076580692358</v>
      </c>
      <c r="AM20" s="9">
        <f t="shared" si="15"/>
        <v>1.0544988725028277</v>
      </c>
      <c r="AN20" s="10">
        <f t="shared" si="16"/>
        <v>1.1853294669954262</v>
      </c>
      <c r="AO20" s="107">
        <f>IF($B$2="Original",IF($AI20=0,"-",(VLOOKUP(Y20,'APP 2885'!$B$10:$G$54,4)*$R20)/($X20+$AD20)),IF($AI20=0,"-",(VLOOKUP(AA20,'APP 2885'!$B$10:$G$54,4)*$R20)/($X20+$AD20)))</f>
        <v>2.0537857951268372</v>
      </c>
    </row>
    <row r="21" spans="3:41" ht="20.100000000000001" customHeight="1" thickBot="1" x14ac:dyDescent="0.3">
      <c r="C21" s="119">
        <v>4</v>
      </c>
      <c r="D21" s="55" t="str">
        <f t="shared" si="0"/>
        <v>Ceiling Tier II_Zone 3_Tier 2: Post R-49+</v>
      </c>
      <c r="E21" s="11" t="s">
        <v>33</v>
      </c>
      <c r="F21" s="11" t="s">
        <v>24</v>
      </c>
      <c r="G21" s="11" t="s">
        <v>34</v>
      </c>
      <c r="H21" s="11" t="str">
        <f t="shared" si="1"/>
        <v>Tier 2: Post R-49+</v>
      </c>
      <c r="I21" s="12">
        <v>77</v>
      </c>
      <c r="J21" s="12">
        <v>77</v>
      </c>
      <c r="K21" s="12">
        <v>100238</v>
      </c>
      <c r="L21" s="12">
        <f t="shared" si="20"/>
        <v>407754.00711421453</v>
      </c>
      <c r="M21" s="132">
        <v>2.444720985266061E-2</v>
      </c>
      <c r="N21" s="71">
        <v>0.08</v>
      </c>
      <c r="O21" s="73">
        <f>IF(INDEX('Res Measure Mapping'!$R:$R,MATCH($D21,'Res Measure Mapping'!$B:$B,0))="N/A",N21,INDEX('Res Measure Mapping'!$R:$R,MATCH($D21,'Res Measure Mapping'!$B:$B,0)))</f>
        <v>3.0439250110594066E-2</v>
      </c>
      <c r="P21" s="73" t="str">
        <f>INDEX('Res Measure Mapping'!$S:$S,MATCH($D21,'Res Measure Mapping'!$B:$B,0))</f>
        <v>sqft roof</v>
      </c>
      <c r="Q21" s="71">
        <f t="shared" si="18"/>
        <v>3.0439250110594066E-2</v>
      </c>
      <c r="R21" s="136">
        <f t="shared" si="4"/>
        <v>12411.726206146528</v>
      </c>
      <c r="S21" s="13">
        <v>0.67</v>
      </c>
      <c r="T21" s="77">
        <f>IF(INDEX('Res Measure Mapping'!$T:$T,MATCH($D21,'Res Measure Mapping'!$B:$B,0))="N/A",S21,INDEX('Res Measure Mapping'!$T:$T,MATCH($D21,'Res Measure Mapping'!$B:$B,0)))</f>
        <v>1.17</v>
      </c>
      <c r="U21" s="13">
        <f t="shared" si="19"/>
        <v>1.17</v>
      </c>
      <c r="V21" s="13">
        <f t="shared" si="6"/>
        <v>3.3079935014120231E-2</v>
      </c>
      <c r="W21" s="13">
        <f t="shared" si="7"/>
        <v>477072.18832363095</v>
      </c>
      <c r="X21" s="14">
        <f t="shared" si="8"/>
        <v>463583.71226654563</v>
      </c>
      <c r="Y21" s="12">
        <v>45</v>
      </c>
      <c r="Z21" s="73">
        <f>IF(INDEX('Res Measure Mapping'!$U:$U,MATCH($D21,'Res Measure Mapping'!$B:$B,0))="N/A",Y21,INDEX('Res Measure Mapping'!$U:$U,MATCH($D21,'Res Measure Mapping'!$B:$B,0)))</f>
        <v>45</v>
      </c>
      <c r="AA21" s="12">
        <f t="shared" si="11"/>
        <v>45</v>
      </c>
      <c r="AB21" s="12">
        <f t="shared" si="9"/>
        <v>283967.91699127021</v>
      </c>
      <c r="AC21" s="12">
        <f t="shared" si="9"/>
        <v>283967.91699127021</v>
      </c>
      <c r="AD21" s="15">
        <f t="shared" si="10"/>
        <v>37151.691396792747</v>
      </c>
      <c r="AE21" s="13">
        <v>1</v>
      </c>
      <c r="AF21" s="77">
        <v>1.25</v>
      </c>
      <c r="AG21" s="73" t="str">
        <f>INDEX('Res Measure Mapping'!$S:$S,MATCH($D21,'Res Measure Mapping'!$B:$B,0))</f>
        <v>sqft roof</v>
      </c>
      <c r="AH21" s="13">
        <f>AF21</f>
        <v>1.25</v>
      </c>
      <c r="AI21" s="13">
        <f t="shared" si="17"/>
        <v>509692.50889276818</v>
      </c>
      <c r="AJ21" s="16">
        <f t="shared" si="13"/>
        <v>1.7948946989967083</v>
      </c>
      <c r="AK21" s="16">
        <f t="shared" si="14"/>
        <v>1.9257252934893068</v>
      </c>
      <c r="AL21" s="82">
        <f>IF($B$2="Original",IF($AI21=0,"-",(VLOOKUP(Y21,'APP 2885'!$B$10:$G$54,6)*$R21)/($AI21+$AD21)),IF($AI21=0,"-",(VLOOKUP(AA21,'APP 2885'!$B$10:$G$54,6)*$R21)/($AI21+$AD21)))</f>
        <v>1.3905691082212437</v>
      </c>
      <c r="AM21" s="17">
        <f t="shared" si="15"/>
        <v>1.6325214382609188</v>
      </c>
      <c r="AN21" s="18">
        <f t="shared" si="16"/>
        <v>1.7633520327535173</v>
      </c>
      <c r="AO21" s="108">
        <f>IF($B$2="Original",IF($AI21=0,"-",(VLOOKUP(Y21,'APP 2885'!$B$10:$G$54,4)*$R21)/($X21+$AD21)),IF($AI21=0,"-",(VLOOKUP(AA21,'APP 2885'!$B$10:$G$54,4)*$R21)/($X21+$AD21)))</f>
        <v>1.3805597388622826</v>
      </c>
    </row>
    <row r="22" spans="3:41" ht="20.100000000000001" customHeight="1" thickBot="1" x14ac:dyDescent="0.3">
      <c r="C22" s="119">
        <v>14</v>
      </c>
      <c r="D22" s="55" t="str">
        <f t="shared" si="0"/>
        <v>Condensing Boiler_Zone 1_95+% Annual Fuel Utilization Efficiency (AFUE)</v>
      </c>
      <c r="E22" s="3" t="s">
        <v>35</v>
      </c>
      <c r="F22" s="3" t="s">
        <v>21</v>
      </c>
      <c r="G22" s="3" t="s">
        <v>36</v>
      </c>
      <c r="H22" s="3" t="str">
        <f t="shared" si="1"/>
        <v>95+% Annual Fuel Utilization Efficiency (AFUE)</v>
      </c>
      <c r="I22" s="4">
        <v>11</v>
      </c>
      <c r="J22" s="4">
        <v>12</v>
      </c>
      <c r="K22" s="4"/>
      <c r="L22" s="4">
        <f t="shared" si="20"/>
        <v>7.4949786773749318</v>
      </c>
      <c r="M22" s="131">
        <v>1.6058422186494726E-3</v>
      </c>
      <c r="N22" s="70">
        <v>77</v>
      </c>
      <c r="O22" s="70">
        <f>IF(INDEX('Res Measure Mapping'!$R:$R,MATCH($D22,'Res Measure Mapping'!$B:$B,0))="N/A",N22,INDEX('Res Measure Mapping'!$R:$R,MATCH($D22,'Res Measure Mapping'!$B:$B,0)))</f>
        <v>108.77656899256048</v>
      </c>
      <c r="P22" s="70" t="str">
        <f>INDEX('Res Measure Mapping'!$S:$S,MATCH($D22,'Res Measure Mapping'!$B:$B,0))</f>
        <v>kBTU/hr</v>
      </c>
      <c r="Q22" s="70">
        <f t="shared" si="18"/>
        <v>108.77656899256048</v>
      </c>
      <c r="R22" s="135">
        <f t="shared" si="4"/>
        <v>815.27806519724402</v>
      </c>
      <c r="S22" s="5">
        <v>1747</v>
      </c>
      <c r="T22" s="76">
        <f>IF(INDEX('Res Measure Mapping'!$T:$T,MATCH($D22,'Res Measure Mapping'!$B:$B,0))="N/A",S22,INDEX('Res Measure Mapping'!$T:$T,MATCH($D22,'Res Measure Mapping'!$B:$B,0)))</f>
        <v>1782.7300000000002</v>
      </c>
      <c r="U22" s="5">
        <f t="shared" ref="U22:U28" si="21">S22</f>
        <v>1747</v>
      </c>
      <c r="V22" s="5">
        <f t="shared" si="6"/>
        <v>86.089845863775636</v>
      </c>
      <c r="W22" s="5">
        <f t="shared" si="7"/>
        <v>13093.727749374006</v>
      </c>
      <c r="X22" s="6">
        <f t="shared" si="8"/>
        <v>12448.486190286512</v>
      </c>
      <c r="Y22" s="4">
        <v>45</v>
      </c>
      <c r="Z22" s="70">
        <f>IF(INDEX('Res Measure Mapping'!$U:$U,MATCH($D22,'Res Measure Mapping'!$B:$B,0))="N/A",Y22,INDEX('Res Measure Mapping'!$U:$U,MATCH($D22,'Res Measure Mapping'!$B:$B,0)))</f>
        <v>25</v>
      </c>
      <c r="AA22" s="4">
        <f t="shared" si="11"/>
        <v>25</v>
      </c>
      <c r="AB22" s="4">
        <f t="shared" si="9"/>
        <v>13584.032822894585</v>
      </c>
      <c r="AC22" s="4">
        <f t="shared" si="9"/>
        <v>13584.032822894585</v>
      </c>
      <c r="AD22" s="7">
        <f t="shared" si="10"/>
        <v>2440.350244415044</v>
      </c>
      <c r="AE22" s="5">
        <v>750</v>
      </c>
      <c r="AF22" s="76">
        <f>ROUND(IF(INDEX('Res Measure Mapping'!$V:$V,MATCH($D22,'Res Measure Mapping'!$B:$B,0))="N/A",AE22,INDEX('Res Measure Mapping'!$V:$V,MATCH($D22,'Res Measure Mapping'!$B:$B,0))),0)</f>
        <v>535</v>
      </c>
      <c r="AG22" s="70" t="str">
        <f>INDEX('Res Measure Mapping'!$S:$S,MATCH($D22,'Res Measure Mapping'!$B:$B,0))</f>
        <v>kBTU/hr</v>
      </c>
      <c r="AH22" s="5">
        <v>900</v>
      </c>
      <c r="AI22" s="5">
        <f t="shared" si="17"/>
        <v>6745.4808096374391</v>
      </c>
      <c r="AJ22" s="8">
        <f t="shared" si="13"/>
        <v>0.49657424253779608</v>
      </c>
      <c r="AK22" s="8">
        <f t="shared" si="14"/>
        <v>0.67622267803789793</v>
      </c>
      <c r="AL22" s="81">
        <f>IF($B$2="Original",IF($AI22=0,"-",(VLOOKUP(Y22,'APP 2885'!$B$10:$G$54,6)*$R22)/($AI22+$AD22)),IF($AI22=0,"-",(VLOOKUP(AA22,'APP 2885'!$B$10:$G$54,6)*$R22)/($AI22+$AD22)))</f>
        <v>2.4548884835937792</v>
      </c>
      <c r="AM22" s="9">
        <f t="shared" si="15"/>
        <v>0.91640577968169967</v>
      </c>
      <c r="AN22" s="10">
        <f t="shared" si="16"/>
        <v>1.0960542151818014</v>
      </c>
      <c r="AO22" s="107">
        <f>IF($B$2="Original",IF($AI22=0,"-",(VLOOKUP(Y22,'APP 2885'!$B$10:$G$54,4)*$R22)/($X22+$AD22)),IF($AI22=0,"-",(VLOOKUP(AA22,'APP 2885'!$B$10:$G$54,4)*$R22)/($X22+$AD22)))</f>
        <v>1.3768821764689048</v>
      </c>
    </row>
    <row r="23" spans="3:41" ht="20.100000000000001" customHeight="1" thickBot="1" x14ac:dyDescent="0.3">
      <c r="C23" s="119">
        <v>14</v>
      </c>
      <c r="D23" s="55" t="str">
        <f t="shared" si="0"/>
        <v>Condensing Boiler_Zone 2_95+% Annual Fuel Utilization Efficiency (AFUE)</v>
      </c>
      <c r="E23" s="11" t="s">
        <v>35</v>
      </c>
      <c r="F23" s="11" t="s">
        <v>23</v>
      </c>
      <c r="G23" s="11" t="s">
        <v>36</v>
      </c>
      <c r="H23" s="11" t="str">
        <f t="shared" si="1"/>
        <v>95+% Annual Fuel Utilization Efficiency (AFUE)</v>
      </c>
      <c r="I23" s="12">
        <v>2</v>
      </c>
      <c r="J23" s="12">
        <v>2</v>
      </c>
      <c r="K23" s="12"/>
      <c r="L23" s="12">
        <f t="shared" si="20"/>
        <v>2.2218718639705703</v>
      </c>
      <c r="M23" s="132">
        <v>5.4361775480301613E-4</v>
      </c>
      <c r="N23" s="71">
        <v>78</v>
      </c>
      <c r="O23" s="73">
        <f>IF(INDEX('Res Measure Mapping'!$R:$R,MATCH($D23,'Res Measure Mapping'!$B:$B,0))="N/A",N23,INDEX('Res Measure Mapping'!$R:$R,MATCH($D23,'Res Measure Mapping'!$B:$B,0)))</f>
        <v>124.21599125500825</v>
      </c>
      <c r="P23" s="73" t="str">
        <f>INDEX('Res Measure Mapping'!$S:$S,MATCH($D23,'Res Measure Mapping'!$B:$B,0))</f>
        <v>kBTU/hr</v>
      </c>
      <c r="Q23" s="71">
        <f t="shared" si="18"/>
        <v>124.21599125500825</v>
      </c>
      <c r="R23" s="136">
        <f t="shared" si="4"/>
        <v>275.99201602471726</v>
      </c>
      <c r="S23" s="13">
        <v>1747</v>
      </c>
      <c r="T23" s="77">
        <f>IF(INDEX('Res Measure Mapping'!$T:$T,MATCH($D23,'Res Measure Mapping'!$B:$B,0))="N/A",S23,INDEX('Res Measure Mapping'!$T:$T,MATCH($D23,'Res Measure Mapping'!$B:$B,0)))</f>
        <v>2090.52</v>
      </c>
      <c r="U23" s="13">
        <f t="shared" si="21"/>
        <v>1747</v>
      </c>
      <c r="V23" s="13">
        <f t="shared" si="6"/>
        <v>98.309182207163872</v>
      </c>
      <c r="W23" s="13">
        <f t="shared" si="7"/>
        <v>3881.6101463565865</v>
      </c>
      <c r="X23" s="14">
        <f t="shared" si="8"/>
        <v>3663.1797404405329</v>
      </c>
      <c r="Y23" s="12">
        <v>45</v>
      </c>
      <c r="Z23" s="73">
        <f>IF(INDEX('Res Measure Mapping'!$U:$U,MATCH($D23,'Res Measure Mapping'!$B:$B,0))="N/A",Y23,INDEX('Res Measure Mapping'!$U:$U,MATCH($D23,'Res Measure Mapping'!$B:$B,0)))</f>
        <v>25</v>
      </c>
      <c r="AA23" s="12">
        <f t="shared" si="11"/>
        <v>25</v>
      </c>
      <c r="AB23" s="12">
        <f t="shared" si="9"/>
        <v>4598.5348613906035</v>
      </c>
      <c r="AC23" s="12">
        <f t="shared" si="9"/>
        <v>4598.5348613906035</v>
      </c>
      <c r="AD23" s="15">
        <f t="shared" si="10"/>
        <v>826.11959344149955</v>
      </c>
      <c r="AE23" s="13">
        <v>750</v>
      </c>
      <c r="AF23" s="77">
        <f>ROUND(IF(INDEX('Res Measure Mapping'!$V:$V,MATCH($D23,'Res Measure Mapping'!$B:$B,0))="N/A",AE23,INDEX('Res Measure Mapping'!$V:$V,MATCH($D23,'Res Measure Mapping'!$B:$B,0))),0)</f>
        <v>628</v>
      </c>
      <c r="AG23" s="73" t="str">
        <f>INDEX('Res Measure Mapping'!$S:$S,MATCH($D23,'Res Measure Mapping'!$B:$B,0))</f>
        <v>kBTU/hr</v>
      </c>
      <c r="AH23" s="13">
        <v>900</v>
      </c>
      <c r="AI23" s="13">
        <f t="shared" si="17"/>
        <v>1999.6846775735132</v>
      </c>
      <c r="AJ23" s="16">
        <f t="shared" si="13"/>
        <v>0.4348525645337406</v>
      </c>
      <c r="AK23" s="16">
        <f t="shared" si="14"/>
        <v>0.61450100003384245</v>
      </c>
      <c r="AL23" s="82">
        <f>IF($B$2="Original",IF($AI23=0,"-",(VLOOKUP(Y23,'APP 2885'!$B$10:$G$54,6)*$R23)/($AI23+$AD23)),IF($AI23=0,"-",(VLOOKUP(AA23,'APP 2885'!$B$10:$G$54,6)*$R23)/($AI23+$AD23)))</f>
        <v>2.7014622670569381</v>
      </c>
      <c r="AM23" s="17">
        <f t="shared" si="15"/>
        <v>0.79659714471160536</v>
      </c>
      <c r="AN23" s="18">
        <f t="shared" si="16"/>
        <v>0.97624558021170726</v>
      </c>
      <c r="AO23" s="108">
        <f>IF($B$2="Original",IF($AI23=0,"-",(VLOOKUP(Y23,'APP 2885'!$B$10:$G$54,4)*$R23)/($X23+$AD23)),IF($AI23=0,"-",(VLOOKUP(AA23,'APP 2885'!$B$10:$G$54,4)*$R23)/($X23+$AD23)))</f>
        <v>1.5458584847064469</v>
      </c>
    </row>
    <row r="24" spans="3:41" ht="20.100000000000001" customHeight="1" thickBot="1" x14ac:dyDescent="0.3">
      <c r="C24" s="119">
        <v>14</v>
      </c>
      <c r="D24" s="55" t="str">
        <f t="shared" si="0"/>
        <v>Condensing Boiler_Zone 3_95+% Annual Fuel Utilization Efficiency (AFUE)</v>
      </c>
      <c r="E24" s="3" t="s">
        <v>35</v>
      </c>
      <c r="F24" s="3" t="s">
        <v>24</v>
      </c>
      <c r="G24" s="3" t="s">
        <v>36</v>
      </c>
      <c r="H24" s="3" t="str">
        <f t="shared" si="1"/>
        <v>95+% Annual Fuel Utilization Efficiency (AFUE)</v>
      </c>
      <c r="I24" s="4">
        <v>2</v>
      </c>
      <c r="J24" s="4">
        <v>2</v>
      </c>
      <c r="K24" s="4"/>
      <c r="L24" s="4">
        <f t="shared" si="20"/>
        <v>1.198458547200238</v>
      </c>
      <c r="M24" s="131">
        <v>2.6121291542913997E-4</v>
      </c>
      <c r="N24" s="70">
        <v>67</v>
      </c>
      <c r="O24" s="70">
        <f>IF(INDEX('Res Measure Mapping'!$R:$R,MATCH($D24,'Res Measure Mapping'!$B:$B,0))="N/A",N24,INDEX('Res Measure Mapping'!$R:$R,MATCH($D24,'Res Measure Mapping'!$B:$B,0)))</f>
        <v>110.65588493536748</v>
      </c>
      <c r="P24" s="70" t="str">
        <f>INDEX('Res Measure Mapping'!$S:$S,MATCH($D24,'Res Measure Mapping'!$B:$B,0))</f>
        <v>kBTU/hr</v>
      </c>
      <c r="Q24" s="70">
        <f t="shared" si="18"/>
        <v>110.65588493536748</v>
      </c>
      <c r="R24" s="135">
        <f t="shared" si="4"/>
        <v>132.61649109879721</v>
      </c>
      <c r="S24" s="5">
        <v>1747</v>
      </c>
      <c r="T24" s="76">
        <f>IF(INDEX('Res Measure Mapping'!$T:$T,MATCH($D24,'Res Measure Mapping'!$B:$B,0))="N/A",S24,INDEX('Res Measure Mapping'!$T:$T,MATCH($D24,'Res Measure Mapping'!$B:$B,0)))</f>
        <v>2090.52</v>
      </c>
      <c r="U24" s="5">
        <f t="shared" si="21"/>
        <v>1747</v>
      </c>
      <c r="V24" s="5">
        <f t="shared" si="6"/>
        <v>87.577206803213386</v>
      </c>
      <c r="W24" s="5">
        <f t="shared" si="7"/>
        <v>2093.7070819588157</v>
      </c>
      <c r="X24" s="6">
        <f t="shared" si="8"/>
        <v>1988.7494299255818</v>
      </c>
      <c r="Y24" s="4">
        <v>45</v>
      </c>
      <c r="Z24" s="70">
        <f>IF(INDEX('Res Measure Mapping'!$U:$U,MATCH($D24,'Res Measure Mapping'!$B:$B,0))="N/A",Y24,INDEX('Res Measure Mapping'!$U:$U,MATCH($D24,'Res Measure Mapping'!$B:$B,0)))</f>
        <v>25</v>
      </c>
      <c r="AA24" s="4">
        <f t="shared" si="11"/>
        <v>25</v>
      </c>
      <c r="AB24" s="4">
        <f t="shared" si="9"/>
        <v>2209.63477964703</v>
      </c>
      <c r="AC24" s="4">
        <f t="shared" si="9"/>
        <v>2209.63477964703</v>
      </c>
      <c r="AD24" s="7">
        <f t="shared" si="10"/>
        <v>396.95743119020113</v>
      </c>
      <c r="AE24" s="5">
        <v>750</v>
      </c>
      <c r="AF24" s="76">
        <f>ROUND(IF(INDEX('Res Measure Mapping'!$V:$V,MATCH($D24,'Res Measure Mapping'!$B:$B,0))="N/A",AE24,INDEX('Res Measure Mapping'!$V:$V,MATCH($D24,'Res Measure Mapping'!$B:$B,0))),0)</f>
        <v>628</v>
      </c>
      <c r="AG24" s="70" t="str">
        <f>INDEX('Res Measure Mapping'!$S:$S,MATCH($D24,'Res Measure Mapping'!$B:$B,0))</f>
        <v>kBTU/hr</v>
      </c>
      <c r="AH24" s="5">
        <v>900</v>
      </c>
      <c r="AI24" s="5">
        <f t="shared" si="17"/>
        <v>1078.6126924802143</v>
      </c>
      <c r="AJ24" s="8">
        <f t="shared" si="13"/>
        <v>0.48814071104208151</v>
      </c>
      <c r="AK24" s="8">
        <f t="shared" si="14"/>
        <v>0.66778914654218324</v>
      </c>
      <c r="AL24" s="81">
        <f>IF($B$2="Original",IF($AI24=0,"-",(VLOOKUP(Y24,'APP 2885'!$B$10:$G$54,6)*$R24)/($AI24+$AD24)),IF($AI24=0,"-",(VLOOKUP(AA24,'APP 2885'!$B$10:$G$54,6)*$R24)/($AI24+$AD24)))</f>
        <v>2.4858913524664725</v>
      </c>
      <c r="AM24" s="9">
        <f t="shared" si="15"/>
        <v>0.90003535798946255</v>
      </c>
      <c r="AN24" s="10">
        <f t="shared" si="16"/>
        <v>1.0796837934895642</v>
      </c>
      <c r="AO24" s="107">
        <f>IF($B$2="Original",IF($AI24=0,"-",(VLOOKUP(Y24,'APP 2885'!$B$10:$G$54,4)*$R24)/($X24+$AD24)),IF($AI24=0,"-",(VLOOKUP(AA24,'APP 2885'!$B$10:$G$54,4)*$R24)/($X24+$AD24)))</f>
        <v>1.3977587905157551</v>
      </c>
    </row>
    <row r="25" spans="3:41" ht="20.100000000000001" customHeight="1" thickBot="1" x14ac:dyDescent="0.3">
      <c r="C25" s="119" t="s">
        <v>125</v>
      </c>
      <c r="D25" s="55" t="str">
        <f t="shared" si="0"/>
        <v>Condensing Boiler_Zone 3_95+% Annual Fuel Utilization Efficiency (AFUE)</v>
      </c>
      <c r="E25" s="11" t="s">
        <v>35</v>
      </c>
      <c r="F25" s="11" t="s">
        <v>24</v>
      </c>
      <c r="G25" s="11" t="s">
        <v>36</v>
      </c>
      <c r="H25" s="11" t="str">
        <f t="shared" si="1"/>
        <v>95+% Annual Fuel Utilization Efficiency (AFUE)</v>
      </c>
      <c r="I25" s="12">
        <v>1</v>
      </c>
      <c r="J25" s="12">
        <v>1</v>
      </c>
      <c r="K25" s="12"/>
      <c r="L25" s="12">
        <f t="shared" si="20"/>
        <v>1.198458547200238</v>
      </c>
      <c r="M25" s="132">
        <v>2.6121291542913997E-4</v>
      </c>
      <c r="N25" s="71">
        <v>106</v>
      </c>
      <c r="O25" s="73">
        <f>IF(INDEX('Res Measure Mapping'!$R:$R,MATCH($D25,'Res Measure Mapping'!$B:$B,0))="N/A",N25,INDEX('Res Measure Mapping'!$R:$R,MATCH($D25,'Res Measure Mapping'!$B:$B,0)))</f>
        <v>110.65588493536748</v>
      </c>
      <c r="P25" s="73" t="str">
        <f>INDEX('Res Measure Mapping'!$S:$S,MATCH($D25,'Res Measure Mapping'!$B:$B,0))</f>
        <v>kBTU/hr</v>
      </c>
      <c r="Q25" s="71">
        <f t="shared" si="18"/>
        <v>110.65588493536748</v>
      </c>
      <c r="R25" s="136">
        <f t="shared" si="4"/>
        <v>132.61649109879721</v>
      </c>
      <c r="S25" s="13">
        <v>1747</v>
      </c>
      <c r="T25" s="77">
        <f>IF(INDEX('Res Measure Mapping'!$T:$T,MATCH($D25,'Res Measure Mapping'!$B:$B,0))="N/A",S25,INDEX('Res Measure Mapping'!$T:$T,MATCH($D25,'Res Measure Mapping'!$B:$B,0)))</f>
        <v>2090.52</v>
      </c>
      <c r="U25" s="13">
        <f t="shared" si="21"/>
        <v>1747</v>
      </c>
      <c r="V25" s="13">
        <f t="shared" si="6"/>
        <v>87.577206803213386</v>
      </c>
      <c r="W25" s="13">
        <f t="shared" si="7"/>
        <v>2093.7070819588157</v>
      </c>
      <c r="X25" s="14">
        <f t="shared" si="8"/>
        <v>1988.7494299255818</v>
      </c>
      <c r="Y25" s="12">
        <v>45</v>
      </c>
      <c r="Z25" s="73">
        <f>IF(INDEX('Res Measure Mapping'!$U:$U,MATCH($D25,'Res Measure Mapping'!$B:$B,0))="N/A",Y25,INDEX('Res Measure Mapping'!$U:$U,MATCH($D25,'Res Measure Mapping'!$B:$B,0)))</f>
        <v>25</v>
      </c>
      <c r="AA25" s="12">
        <f t="shared" si="11"/>
        <v>25</v>
      </c>
      <c r="AB25" s="12">
        <f t="shared" si="9"/>
        <v>2209.63477964703</v>
      </c>
      <c r="AC25" s="12">
        <f t="shared" si="9"/>
        <v>2209.63477964703</v>
      </c>
      <c r="AD25" s="15">
        <f t="shared" si="10"/>
        <v>396.95743119020113</v>
      </c>
      <c r="AE25" s="13">
        <v>500</v>
      </c>
      <c r="AF25" s="77">
        <f>ROUND(IF(INDEX('Res Measure Mapping'!$V:$V,MATCH($D25,'Res Measure Mapping'!$B:$B,0))="N/A",AE25,INDEX('Res Measure Mapping'!$V:$V,MATCH($D25,'Res Measure Mapping'!$B:$B,0))),0)</f>
        <v>628</v>
      </c>
      <c r="AG25" s="73" t="str">
        <f>INDEX('Res Measure Mapping'!$S:$S,MATCH($D25,'Res Measure Mapping'!$B:$B,0))</f>
        <v>kBTU/hr</v>
      </c>
      <c r="AH25" s="13">
        <f>AE25</f>
        <v>500</v>
      </c>
      <c r="AI25" s="13">
        <f t="shared" si="17"/>
        <v>599.22927360011897</v>
      </c>
      <c r="AJ25" s="16">
        <f t="shared" si="13"/>
        <v>0.27118928391226749</v>
      </c>
      <c r="AK25" s="16">
        <f t="shared" si="14"/>
        <v>0.45083771941236928</v>
      </c>
      <c r="AL25" s="82">
        <f>IF($B$2="Original",IF($AI25=0,"-",(VLOOKUP(Y25,'APP 2885'!$B$10:$G$54,6)*$R25)/($AI25+$AD25)),IF($AI25=0,"-",(VLOOKUP(AA25,'APP 2885'!$B$10:$G$54,6)*$R25)/($AI25+$AD25)))</f>
        <v>3.6821481282087989</v>
      </c>
      <c r="AM25" s="17">
        <f t="shared" si="15"/>
        <v>0.90003535798946255</v>
      </c>
      <c r="AN25" s="18">
        <f t="shared" si="16"/>
        <v>1.0796837934895642</v>
      </c>
      <c r="AO25" s="108">
        <f>IF($B$2="Original",IF($AI25=0,"-",(VLOOKUP(Y25,'APP 2885'!$B$10:$G$54,4)*$R25)/($X25+$AD25)),IF($AI25=0,"-",(VLOOKUP(AA25,'APP 2885'!$B$10:$G$54,4)*$R25)/($X25+$AD25)))</f>
        <v>1.3977587905157551</v>
      </c>
    </row>
    <row r="26" spans="3:41" ht="20.100000000000001" customHeight="1" thickBot="1" x14ac:dyDescent="0.3">
      <c r="C26" s="119">
        <v>12</v>
      </c>
      <c r="D26" s="55" t="str">
        <f t="shared" si="0"/>
        <v>Condensing High-Efficiency Natural Gas Tankless Water Heater_Zone 1_0.91+ Energy Factor (EF) or Greater</v>
      </c>
      <c r="E26" s="3" t="s">
        <v>37</v>
      </c>
      <c r="F26" s="3" t="s">
        <v>21</v>
      </c>
      <c r="G26" s="3" t="s">
        <v>38</v>
      </c>
      <c r="H26" s="3" t="s">
        <v>330</v>
      </c>
      <c r="I26" s="4">
        <v>1</v>
      </c>
      <c r="J26" s="4">
        <v>1</v>
      </c>
      <c r="K26" s="4"/>
      <c r="L26" s="4">
        <f t="shared" si="20"/>
        <v>411.84570840805287</v>
      </c>
      <c r="M26" s="131">
        <v>5.2385954298685283E-2</v>
      </c>
      <c r="N26" s="70">
        <v>54</v>
      </c>
      <c r="O26" s="70">
        <f>IF(INDEX('Res Measure Mapping'!$R:$R,MATCH($D26,'Res Measure Mapping'!$B:$B,0))="N/A",N26,INDEX('Res Measure Mapping'!$R:$R,MATCH($D26,'Res Measure Mapping'!$B:$B,0)))</f>
        <v>64.577793393733444</v>
      </c>
      <c r="P26" s="70" t="str">
        <f>INDEX('Res Measure Mapping'!$S:$S,MATCH($D26,'Res Measure Mapping'!$B:$B,0))</f>
        <v>unit</v>
      </c>
      <c r="Q26" s="70">
        <f t="shared" si="18"/>
        <v>64.577793393733444</v>
      </c>
      <c r="R26" s="135">
        <f t="shared" si="4"/>
        <v>26596.087067671026</v>
      </c>
      <c r="S26" s="5">
        <v>1171</v>
      </c>
      <c r="T26" s="76">
        <f>IF(INDEX('Res Measure Mapping'!$T:$T,MATCH($D26,'Res Measure Mapping'!$B:$B,0))="N/A",S26,INDEX('Res Measure Mapping'!$T:$T,MATCH($D26,'Res Measure Mapping'!$B:$B,0)))</f>
        <v>2447.4499999999998</v>
      </c>
      <c r="U26" s="5">
        <f t="shared" si="21"/>
        <v>1171</v>
      </c>
      <c r="V26" s="5">
        <f t="shared" si="6"/>
        <v>31.80310057447938</v>
      </c>
      <c r="W26" s="5">
        <f t="shared" si="7"/>
        <v>482271.32454582991</v>
      </c>
      <c r="X26" s="6">
        <f t="shared" si="8"/>
        <v>469173.35406016087</v>
      </c>
      <c r="Y26" s="4">
        <v>18</v>
      </c>
      <c r="Z26" s="70">
        <f>IF(INDEX('Res Measure Mapping'!$U:$U,MATCH($D26,'Res Measure Mapping'!$B:$B,0))="N/A",Y26,INDEX('Res Measure Mapping'!$U:$U,MATCH($D26,'Res Measure Mapping'!$B:$B,0)))</f>
        <v>13</v>
      </c>
      <c r="AA26" s="4">
        <f t="shared" si="11"/>
        <v>13</v>
      </c>
      <c r="AB26" s="4">
        <f t="shared" si="9"/>
        <v>275746.74706671608</v>
      </c>
      <c r="AC26" s="4">
        <f t="shared" si="9"/>
        <v>275746.74706671608</v>
      </c>
      <c r="AD26" s="7">
        <f t="shared" si="10"/>
        <v>79609.363169083066</v>
      </c>
      <c r="AE26" s="5">
        <v>250</v>
      </c>
      <c r="AF26" s="76">
        <f>ROUND(IF(INDEX('Res Measure Mapping'!$V:$V,MATCH($D26,'Res Measure Mapping'!$B:$B,0))="N/A",AE26,INDEX('Res Measure Mapping'!$V:$V,MATCH($D26,'Res Measure Mapping'!$B:$B,0))),0)</f>
        <v>320</v>
      </c>
      <c r="AG26" s="70" t="str">
        <f>INDEX('Res Measure Mapping'!$S:$S,MATCH($D26,'Res Measure Mapping'!$B:$B,0))</f>
        <v>unit</v>
      </c>
      <c r="AH26" s="5">
        <v>350</v>
      </c>
      <c r="AI26" s="5">
        <f t="shared" si="17"/>
        <v>144145.9979428185</v>
      </c>
      <c r="AJ26" s="8">
        <f t="shared" si="13"/>
        <v>0.52274777300615927</v>
      </c>
      <c r="AK26" s="8">
        <f t="shared" si="14"/>
        <v>0.81145240512217054</v>
      </c>
      <c r="AL26" s="81">
        <f>IF($B$2="Original",IF($AI26=0,"-",(VLOOKUP(Y26,'APP 2885'!$B$10:$G$54,6)*$R26)/($AI26+$AD26)),IF($AI26=0,"-",(VLOOKUP(AA26,'APP 2885'!$B$10:$G$54,6)*$R26)/($AI26+$AD26)))</f>
        <v>1.5440607562606983</v>
      </c>
      <c r="AM26" s="9">
        <f t="shared" si="15"/>
        <v>1.7014646919720355</v>
      </c>
      <c r="AN26" s="10">
        <f t="shared" si="16"/>
        <v>1.9901693240880469</v>
      </c>
      <c r="AO26" s="107">
        <f>IF($B$2="Original",IF($AI26=0,"-",(VLOOKUP(Y26,'APP 2885'!$B$10:$G$54,4)*$R26)/($X26+$AD26)),IF($AI26=0,"-",(VLOOKUP(AA26,'APP 2885'!$B$10:$G$54,4)*$R26)/($X26+$AD26)))</f>
        <v>0.57232764485167653</v>
      </c>
    </row>
    <row r="27" spans="3:41" ht="20.100000000000001" customHeight="1" thickBot="1" x14ac:dyDescent="0.3">
      <c r="C27" s="119">
        <v>12</v>
      </c>
      <c r="D27" s="55" t="str">
        <f t="shared" si="0"/>
        <v>Condensing High-Efficiency Natural Gas Tankless Water Heater_Zone 2_0.91+ Energy Factor (EF) or Greater</v>
      </c>
      <c r="E27" s="11" t="s">
        <v>37</v>
      </c>
      <c r="F27" s="11" t="s">
        <v>23</v>
      </c>
      <c r="G27" s="11" t="s">
        <v>38</v>
      </c>
      <c r="H27" s="11" t="s">
        <v>330</v>
      </c>
      <c r="I27" s="12">
        <v>5</v>
      </c>
      <c r="J27" s="12">
        <v>5</v>
      </c>
      <c r="K27" s="12"/>
      <c r="L27" s="12">
        <f t="shared" si="20"/>
        <v>199.44064658737261</v>
      </c>
      <c r="M27" s="132">
        <v>2.5227907796506903E-2</v>
      </c>
      <c r="N27" s="71">
        <v>54</v>
      </c>
      <c r="O27" s="73">
        <f>IF(INDEX('Res Measure Mapping'!$R:$R,MATCH($D27,'Res Measure Mapping'!$B:$B,0))="N/A",N27,INDEX('Res Measure Mapping'!$R:$R,MATCH($D27,'Res Measure Mapping'!$B:$B,0)))</f>
        <v>64.22002168518091</v>
      </c>
      <c r="P27" s="73" t="str">
        <f>INDEX('Res Measure Mapping'!$S:$S,MATCH($D27,'Res Measure Mapping'!$B:$B,0))</f>
        <v>unit</v>
      </c>
      <c r="Q27" s="71">
        <f t="shared" si="18"/>
        <v>64.22002168518091</v>
      </c>
      <c r="R27" s="136">
        <f t="shared" si="4"/>
        <v>12808.082648747572</v>
      </c>
      <c r="S27" s="13">
        <v>1171</v>
      </c>
      <c r="T27" s="77">
        <f>IF(INDEX('Res Measure Mapping'!$T:$T,MATCH($D27,'Res Measure Mapping'!$B:$B,0))="N/A",S27,INDEX('Res Measure Mapping'!$T:$T,MATCH($D27,'Res Measure Mapping'!$B:$B,0)))</f>
        <v>1882.25</v>
      </c>
      <c r="U27" s="13">
        <f t="shared" si="21"/>
        <v>1171</v>
      </c>
      <c r="V27" s="13">
        <f t="shared" si="6"/>
        <v>31.62690611146288</v>
      </c>
      <c r="W27" s="13">
        <f t="shared" si="7"/>
        <v>233544.99715381334</v>
      </c>
      <c r="X27" s="14">
        <f t="shared" si="8"/>
        <v>227237.30654938504</v>
      </c>
      <c r="Y27" s="12">
        <v>18</v>
      </c>
      <c r="Z27" s="73">
        <f>IF(INDEX('Res Measure Mapping'!$U:$U,MATCH($D27,'Res Measure Mapping'!$B:$B,0))="N/A",Y27,INDEX('Res Measure Mapping'!$U:$U,MATCH($D27,'Res Measure Mapping'!$B:$B,0)))</f>
        <v>13</v>
      </c>
      <c r="AA27" s="12">
        <f t="shared" si="11"/>
        <v>13</v>
      </c>
      <c r="AB27" s="12">
        <f t="shared" si="9"/>
        <v>132793.48640901651</v>
      </c>
      <c r="AC27" s="12">
        <f t="shared" si="9"/>
        <v>132793.48640901651</v>
      </c>
      <c r="AD27" s="15">
        <f t="shared" si="10"/>
        <v>38338.094641117648</v>
      </c>
      <c r="AE27" s="13">
        <v>250</v>
      </c>
      <c r="AF27" s="77">
        <f>ROUND(IF(INDEX('Res Measure Mapping'!$V:$V,MATCH($D27,'Res Measure Mapping'!$B:$B,0))="N/A",AE27,INDEX('Res Measure Mapping'!$V:$V,MATCH($D27,'Res Measure Mapping'!$B:$B,0))),0)</f>
        <v>246</v>
      </c>
      <c r="AG27" s="73" t="str">
        <f>INDEX('Res Measure Mapping'!$S:$S,MATCH($D27,'Res Measure Mapping'!$B:$B,0))</f>
        <v>unit</v>
      </c>
      <c r="AH27" s="13">
        <f>AH26</f>
        <v>350</v>
      </c>
      <c r="AI27" s="13">
        <f t="shared" si="17"/>
        <v>69804.226305580407</v>
      </c>
      <c r="AJ27" s="16">
        <f t="shared" si="13"/>
        <v>0.52566001686691755</v>
      </c>
      <c r="AK27" s="16">
        <f t="shared" si="14"/>
        <v>0.81436464898292871</v>
      </c>
      <c r="AL27" s="82">
        <f>IF($B$2="Original",IF($AI27=0,"-",(VLOOKUP(Y27,'APP 2885'!$B$10:$G$54,6)*$R27)/($AI27+$AD27)),IF($AI27=0,"-",(VLOOKUP(AA27,'APP 2885'!$B$10:$G$54,6)*$R27)/($AI27+$AD27)))</f>
        <v>1.5385390511330581</v>
      </c>
      <c r="AM27" s="17">
        <f t="shared" si="15"/>
        <v>1.7112082278604588</v>
      </c>
      <c r="AN27" s="18">
        <f t="shared" si="16"/>
        <v>1.9999128599764699</v>
      </c>
      <c r="AO27" s="108">
        <f>IF($B$2="Original",IF($AI27=0,"-",(VLOOKUP(Y27,'APP 2885'!$B$10:$G$54,4)*$R27)/($X27+$AD27)),IF($AI27=0,"-",(VLOOKUP(AA27,'APP 2885'!$B$10:$G$54,4)*$R27)/($X27+$AD27)))</f>
        <v>0.5695392758886334</v>
      </c>
    </row>
    <row r="28" spans="3:41" ht="20.100000000000001" customHeight="1" thickBot="1" x14ac:dyDescent="0.3">
      <c r="C28" s="119">
        <v>12</v>
      </c>
      <c r="D28" s="55" t="str">
        <f t="shared" si="0"/>
        <v>Condensing High-Efficiency Natural Gas Tankless Water Heater_Zone 3_0.91+ Energy Factor (EF) or Greater</v>
      </c>
      <c r="E28" s="3" t="s">
        <v>37</v>
      </c>
      <c r="F28" s="3" t="s">
        <v>24</v>
      </c>
      <c r="G28" s="3" t="s">
        <v>38</v>
      </c>
      <c r="H28" s="3" t="s">
        <v>330</v>
      </c>
      <c r="I28" s="4">
        <v>9</v>
      </c>
      <c r="J28" s="4">
        <v>9</v>
      </c>
      <c r="K28" s="4"/>
      <c r="L28" s="4">
        <f t="shared" si="20"/>
        <v>270.6377949166112</v>
      </c>
      <c r="M28" s="131">
        <v>3.3947793929317807E-2</v>
      </c>
      <c r="N28" s="70">
        <v>54</v>
      </c>
      <c r="O28" s="70">
        <f>IF(INDEX('Res Measure Mapping'!$R:$R,MATCH($D28,'Res Measure Mapping'!$B:$B,0))="N/A",N28,INDEX('Res Measure Mapping'!$R:$R,MATCH($D28,'Res Measure Mapping'!$B:$B,0)))</f>
        <v>63.68336412235211</v>
      </c>
      <c r="P28" s="70" t="str">
        <f>INDEX('Res Measure Mapping'!$S:$S,MATCH($D28,'Res Measure Mapping'!$B:$B,0))</f>
        <v>unit</v>
      </c>
      <c r="Q28" s="70">
        <f t="shared" si="18"/>
        <v>63.68336412235211</v>
      </c>
      <c r="R28" s="135">
        <f t="shared" si="4"/>
        <v>17235.125238945006</v>
      </c>
      <c r="S28" s="5">
        <v>1171</v>
      </c>
      <c r="T28" s="76">
        <f>IF(INDEX('Res Measure Mapping'!$T:$T,MATCH($D28,'Res Measure Mapping'!$B:$B,0))="N/A",S28,INDEX('Res Measure Mapping'!$T:$T,MATCH($D28,'Res Measure Mapping'!$B:$B,0)))</f>
        <v>1882.25</v>
      </c>
      <c r="U28" s="5">
        <f t="shared" si="21"/>
        <v>1171</v>
      </c>
      <c r="V28" s="5">
        <f t="shared" si="6"/>
        <v>31.362614416938126</v>
      </c>
      <c r="W28" s="5">
        <f t="shared" si="7"/>
        <v>316916.8578473517</v>
      </c>
      <c r="X28" s="6">
        <f t="shared" si="8"/>
        <v>308428.94903873163</v>
      </c>
      <c r="Y28" s="4">
        <v>18</v>
      </c>
      <c r="Z28" s="70">
        <f>IF(INDEX('Res Measure Mapping'!$U:$U,MATCH($D28,'Res Measure Mapping'!$B:$B,0))="N/A",Y28,INDEX('Res Measure Mapping'!$U:$U,MATCH($D28,'Res Measure Mapping'!$B:$B,0)))</f>
        <v>13</v>
      </c>
      <c r="AA28" s="4">
        <f t="shared" si="11"/>
        <v>13</v>
      </c>
      <c r="AB28" s="4">
        <f t="shared" ref="AB28:AC47" si="22">IF($B$2="Original",PV($F$96,$Y28,-$R28),PV($F$96,$AA28,-$R28))</f>
        <v>178692.81702358005</v>
      </c>
      <c r="AC28" s="4">
        <f t="shared" si="22"/>
        <v>178692.81702358005</v>
      </c>
      <c r="AD28" s="7">
        <f t="shared" si="10"/>
        <v>51589.444000566393</v>
      </c>
      <c r="AE28" s="5">
        <v>250</v>
      </c>
      <c r="AF28" s="76">
        <f>ROUND(IF(INDEX('Res Measure Mapping'!$V:$V,MATCH($D28,'Res Measure Mapping'!$B:$B,0))="N/A",AE28,INDEX('Res Measure Mapping'!$V:$V,MATCH($D28,'Res Measure Mapping'!$B:$B,0))),0)</f>
        <v>246</v>
      </c>
      <c r="AG28" s="70" t="str">
        <f>INDEX('Res Measure Mapping'!$S:$S,MATCH($D28,'Res Measure Mapping'!$B:$B,0))</f>
        <v>unit</v>
      </c>
      <c r="AH28" s="5">
        <f>AH26</f>
        <v>350</v>
      </c>
      <c r="AI28" s="5">
        <f t="shared" si="17"/>
        <v>94723.228220813922</v>
      </c>
      <c r="AJ28" s="8">
        <f t="shared" si="13"/>
        <v>0.53008973611017829</v>
      </c>
      <c r="AK28" s="8">
        <f t="shared" si="14"/>
        <v>0.81879436822618956</v>
      </c>
      <c r="AL28" s="81">
        <f>IF($B$2="Original",IF($AI28=0,"-",(VLOOKUP(Y28,'APP 2885'!$B$10:$G$54,6)*$R28)/($AI28+$AD28)),IF($AI28=0,"-",(VLOOKUP(AA28,'APP 2885'!$B$10:$G$54,6)*$R28)/($AI28+$AD28)))</f>
        <v>1.5302154764899196</v>
      </c>
      <c r="AM28" s="9">
        <f t="shared" si="15"/>
        <v>1.7260288028143391</v>
      </c>
      <c r="AN28" s="10">
        <f t="shared" si="16"/>
        <v>2.0147334349303505</v>
      </c>
      <c r="AO28" s="107">
        <f>IF($B$2="Original",IF($AI28=0,"-",(VLOOKUP(Y28,'APP 2885'!$B$10:$G$54,4)*$R28)/($X28+$AD28)),IF($AI28=0,"-",(VLOOKUP(AA28,'APP 2885'!$B$10:$G$54,4)*$R28)/($X28+$AD28)))</f>
        <v>0.56534968962320387</v>
      </c>
    </row>
    <row r="29" spans="3:41" ht="20.100000000000001" customHeight="1" thickBot="1" x14ac:dyDescent="0.3">
      <c r="C29" s="119">
        <v>11</v>
      </c>
      <c r="D29" s="55" t="str">
        <f t="shared" si="0"/>
        <v>Duct Insulation_Zone 1_Post R ? 8, prior condition must not exceed R-0</v>
      </c>
      <c r="E29" s="11" t="s">
        <v>39</v>
      </c>
      <c r="F29" s="11" t="s">
        <v>21</v>
      </c>
      <c r="G29" s="11" t="s">
        <v>40</v>
      </c>
      <c r="H29" s="11" t="str">
        <f t="shared" si="1"/>
        <v>Post R ? 8, prior condition must not exceed R-0</v>
      </c>
      <c r="I29" s="12">
        <v>68</v>
      </c>
      <c r="J29" s="12">
        <v>68</v>
      </c>
      <c r="K29" s="12">
        <f>IF($B$2="Original",9888.5,'Res Measure Mapping'!$F$90)</f>
        <v>186.1479950812853</v>
      </c>
      <c r="L29" s="12">
        <f t="shared" si="20"/>
        <v>13824.17219495612</v>
      </c>
      <c r="M29" s="132">
        <v>4.7273280148386878E-3</v>
      </c>
      <c r="N29" s="71">
        <v>6.3E-2</v>
      </c>
      <c r="O29" s="73">
        <f>IF(INDEX('Res Measure Mapping'!$R:$R,MATCH($D29,'Res Measure Mapping'!$B:$B,0))="N/A",N29,INDEX('Res Measure Mapping'!$R:$R,MATCH($D29,'Res Measure Mapping'!$B:$B,0)))</f>
        <v>0.17361189969618615</v>
      </c>
      <c r="P29" s="73" t="str">
        <f>INDEX('Res Measure Mapping'!$S:$S,MATCH($D29,'Res Measure Mapping'!$B:$B,0))</f>
        <v>linear duct ft</v>
      </c>
      <c r="Q29" s="71">
        <f t="shared" si="18"/>
        <v>0.17361189969618615</v>
      </c>
      <c r="R29" s="136">
        <f t="shared" si="4"/>
        <v>2400.0407964935275</v>
      </c>
      <c r="S29" s="13">
        <v>0.61</v>
      </c>
      <c r="T29" s="77">
        <f>IF(INDEX('Res Measure Mapping'!$T:$T,MATCH($D29,'Res Measure Mapping'!$B:$B,0))="N/A",S29,INDEX('Res Measure Mapping'!$T:$T,MATCH($D29,'Res Measure Mapping'!$B:$B,0)))</f>
        <v>2.46</v>
      </c>
      <c r="U29" s="13">
        <f t="shared" si="19"/>
        <v>2.46</v>
      </c>
      <c r="V29" s="13">
        <f t="shared" si="6"/>
        <v>0.18867318803064015</v>
      </c>
      <c r="W29" s="13">
        <f t="shared" si="7"/>
        <v>34007.463599592054</v>
      </c>
      <c r="X29" s="14">
        <f t="shared" si="8"/>
        <v>31399.212959685152</v>
      </c>
      <c r="Y29" s="12">
        <v>30</v>
      </c>
      <c r="Z29" s="73">
        <f>IF(INDEX('Res Measure Mapping'!$U:$U,MATCH($D29,'Res Measure Mapping'!$B:$B,0))="N/A",Y29,INDEX('Res Measure Mapping'!$U:$U,MATCH($D29,'Res Measure Mapping'!$B:$B,0)))</f>
        <v>45</v>
      </c>
      <c r="AA29" s="12">
        <f t="shared" si="11"/>
        <v>45</v>
      </c>
      <c r="AB29" s="12">
        <f t="shared" si="22"/>
        <v>54910.53978751375</v>
      </c>
      <c r="AC29" s="12">
        <f t="shared" si="22"/>
        <v>54910.53978751375</v>
      </c>
      <c r="AD29" s="15">
        <f t="shared" si="10"/>
        <v>7183.9785643099085</v>
      </c>
      <c r="AE29" s="13">
        <v>0.5</v>
      </c>
      <c r="AF29" s="77">
        <f>ROUND(IF(INDEX('Res Measure Mapping'!$V:$V,MATCH($D29,'Res Measure Mapping'!$B:$B,0))="N/A",AE29,INDEX('Res Measure Mapping'!$V:$V,MATCH($D29,'Res Measure Mapping'!$B:$B,0))),0)</f>
        <v>1</v>
      </c>
      <c r="AG29" s="73" t="str">
        <f>INDEX('Res Measure Mapping'!$S:$S,MATCH($D29,'Res Measure Mapping'!$B:$B,0))</f>
        <v>linear duct ft</v>
      </c>
      <c r="AH29" s="13">
        <f>AF29</f>
        <v>1</v>
      </c>
      <c r="AI29" s="13">
        <f t="shared" si="17"/>
        <v>13824.17219495612</v>
      </c>
      <c r="AJ29" s="16">
        <f t="shared" si="13"/>
        <v>0.25175808229988722</v>
      </c>
      <c r="AK29" s="16">
        <f t="shared" si="14"/>
        <v>0.38258867679248576</v>
      </c>
      <c r="AL29" s="82">
        <f>IF($B$2="Original",IF($AI29=0,"-",(VLOOKUP(Y29,'APP 2885'!$B$10:$G$54,6)*$R29)/($AI29+$AD29)),IF($AI29=0,"-",(VLOOKUP(AA29,'APP 2885'!$B$10:$G$54,6)*$R29)/($AI29+$AD29)))</f>
        <v>6.9993030805220968</v>
      </c>
      <c r="AM29" s="17">
        <f t="shared" si="15"/>
        <v>0.57182488245772267</v>
      </c>
      <c r="AN29" s="18">
        <f t="shared" si="16"/>
        <v>0.70265547695032116</v>
      </c>
      <c r="AO29" s="108">
        <f>IF($B$2="Original",IF($AI29=0,"-",(VLOOKUP(Y29,'APP 2885'!$B$10:$G$54,4)*$R29)/($X29+$AD29)),IF($AI29=0,"-",(VLOOKUP(AA29,'APP 2885'!$B$10:$G$54,4)*$R29)/($X29+$AD29)))</f>
        <v>3.4645895488160945</v>
      </c>
    </row>
    <row r="30" spans="3:41" ht="20.100000000000001" customHeight="1" thickBot="1" x14ac:dyDescent="0.3">
      <c r="C30" s="119">
        <v>11</v>
      </c>
      <c r="D30" s="55" t="str">
        <f t="shared" si="0"/>
        <v>Duct Insulation_Zone 2_Post R ? 8, prior condition must not exceed R-0</v>
      </c>
      <c r="E30" s="3" t="s">
        <v>39</v>
      </c>
      <c r="F30" s="3" t="s">
        <v>23</v>
      </c>
      <c r="G30" s="3" t="s">
        <v>40</v>
      </c>
      <c r="H30" s="3" t="str">
        <f t="shared" si="1"/>
        <v>Post R ? 8, prior condition must not exceed R-0</v>
      </c>
      <c r="I30" s="4">
        <v>29</v>
      </c>
      <c r="J30" s="4">
        <v>29</v>
      </c>
      <c r="K30" s="4">
        <f>IF($B$2="Original",3694,'Res Measure Mapping'!$H$90)</f>
        <v>179.75161308693163</v>
      </c>
      <c r="L30" s="4">
        <f t="shared" si="20"/>
        <v>6666.7821282354516</v>
      </c>
      <c r="M30" s="131">
        <v>2.2797796120575141E-3</v>
      </c>
      <c r="N30" s="70">
        <v>6.3E-2</v>
      </c>
      <c r="O30" s="70">
        <f>IF(INDEX('Res Measure Mapping'!$R:$R,MATCH($D30,'Res Measure Mapping'!$B:$B,0))="N/A",N30,INDEX('Res Measure Mapping'!$R:$R,MATCH($D30,'Res Measure Mapping'!$B:$B,0)))</f>
        <v>0.17361189969618615</v>
      </c>
      <c r="P30" s="70" t="str">
        <f>INDEX('Res Measure Mapping'!$S:$S,MATCH($D30,'Res Measure Mapping'!$B:$B,0))</f>
        <v>linear duct ft</v>
      </c>
      <c r="Q30" s="70">
        <f t="shared" si="18"/>
        <v>0.17361189969618615</v>
      </c>
      <c r="R30" s="135">
        <f t="shared" si="4"/>
        <v>1157.4327101435397</v>
      </c>
      <c r="S30" s="5">
        <v>0.61</v>
      </c>
      <c r="T30" s="76">
        <f>IF(INDEX('Res Measure Mapping'!$T:$T,MATCH($D30,'Res Measure Mapping'!$B:$B,0))="N/A",S30,INDEX('Res Measure Mapping'!$T:$T,MATCH($D30,'Res Measure Mapping'!$B:$B,0)))</f>
        <v>2.46</v>
      </c>
      <c r="U30" s="5">
        <f t="shared" si="19"/>
        <v>2.46</v>
      </c>
      <c r="V30" s="5">
        <f t="shared" si="6"/>
        <v>0.18867318803064015</v>
      </c>
      <c r="W30" s="5">
        <f t="shared" si="7"/>
        <v>16400.284035459212</v>
      </c>
      <c r="X30" s="6">
        <f t="shared" si="8"/>
        <v>15142.440997419333</v>
      </c>
      <c r="Y30" s="4">
        <v>30</v>
      </c>
      <c r="Z30" s="70">
        <f>IF(INDEX('Res Measure Mapping'!$U:$U,MATCH($D30,'Res Measure Mapping'!$B:$B,0))="N/A",Y30,INDEX('Res Measure Mapping'!$U:$U,MATCH($D30,'Res Measure Mapping'!$B:$B,0)))</f>
        <v>45</v>
      </c>
      <c r="AA30" s="4">
        <f t="shared" si="11"/>
        <v>45</v>
      </c>
      <c r="AB30" s="4">
        <f t="shared" si="22"/>
        <v>26480.906063997441</v>
      </c>
      <c r="AC30" s="4">
        <f t="shared" si="22"/>
        <v>26480.906063997441</v>
      </c>
      <c r="AD30" s="7">
        <f t="shared" si="10"/>
        <v>3464.5126830554423</v>
      </c>
      <c r="AE30" s="5">
        <v>0.5</v>
      </c>
      <c r="AF30" s="76">
        <f>ROUND(IF(INDEX('Res Measure Mapping'!$V:$V,MATCH($D30,'Res Measure Mapping'!$B:$B,0))="N/A",AE30,INDEX('Res Measure Mapping'!$V:$V,MATCH($D30,'Res Measure Mapping'!$B:$B,0))),0)</f>
        <v>1</v>
      </c>
      <c r="AG30" s="70" t="str">
        <f>INDEX('Res Measure Mapping'!$S:$S,MATCH($D30,'Res Measure Mapping'!$B:$B,0))</f>
        <v>linear duct ft</v>
      </c>
      <c r="AH30" s="5">
        <f>AF30</f>
        <v>1</v>
      </c>
      <c r="AI30" s="5">
        <f t="shared" si="17"/>
        <v>6666.7821282354516</v>
      </c>
      <c r="AJ30" s="8">
        <f t="shared" si="13"/>
        <v>0.25175808229988728</v>
      </c>
      <c r="AK30" s="8">
        <f t="shared" si="14"/>
        <v>0.38258867679248582</v>
      </c>
      <c r="AL30" s="81">
        <f>IF($B$2="Original",IF($AI30=0,"-",(VLOOKUP(Y30,'APP 2885'!$B$10:$G$54,6)*$R30)/($AI30+$AD30)),IF($AI30=0,"-",(VLOOKUP(AA30,'APP 2885'!$B$10:$G$54,6)*$R30)/($AI30+$AD30)))</f>
        <v>6.9993030805220968</v>
      </c>
      <c r="AM30" s="9">
        <f t="shared" si="15"/>
        <v>0.57182488245772267</v>
      </c>
      <c r="AN30" s="10">
        <f t="shared" si="16"/>
        <v>0.70265547695032127</v>
      </c>
      <c r="AO30" s="107">
        <f>IF($B$2="Original",IF($AI30=0,"-",(VLOOKUP(Y30,'APP 2885'!$B$10:$G$54,4)*$R30)/($X30+$AD30)),IF($AI30=0,"-",(VLOOKUP(AA30,'APP 2885'!$B$10:$G$54,4)*$R30)/($X30+$AD30)))</f>
        <v>3.4645895488160945</v>
      </c>
    </row>
    <row r="31" spans="3:41" ht="20.100000000000001" customHeight="1" thickBot="1" x14ac:dyDescent="0.3">
      <c r="C31" s="119">
        <v>11</v>
      </c>
      <c r="D31" s="55" t="str">
        <f t="shared" si="0"/>
        <v>Duct Insulation_Zone 3_Post R ? 8, prior condition must not exceed R-0</v>
      </c>
      <c r="E31" s="11" t="s">
        <v>39</v>
      </c>
      <c r="F31" s="11" t="s">
        <v>24</v>
      </c>
      <c r="G31" s="11" t="s">
        <v>40</v>
      </c>
      <c r="H31" s="11" t="str">
        <f t="shared" si="1"/>
        <v>Post R ? 8, prior condition must not exceed R-0</v>
      </c>
      <c r="I31" s="12">
        <v>11</v>
      </c>
      <c r="J31" s="12">
        <v>11</v>
      </c>
      <c r="K31" s="12">
        <f>IF($B$2="Original",2900,'Res Measure Mapping'!$J$90)</f>
        <v>198.58977323703803</v>
      </c>
      <c r="L31" s="12">
        <f t="shared" si="20"/>
        <v>12290.134764153338</v>
      </c>
      <c r="M31" s="132">
        <v>4.2027470113489389E-3</v>
      </c>
      <c r="N31" s="71">
        <v>6.3E-2</v>
      </c>
      <c r="O31" s="73">
        <f>IF(INDEX('Res Measure Mapping'!$R:$R,MATCH($D31,'Res Measure Mapping'!$B:$B,0))="N/A",N31,INDEX('Res Measure Mapping'!$R:$R,MATCH($D31,'Res Measure Mapping'!$B:$B,0)))</f>
        <v>0.17361189969618615</v>
      </c>
      <c r="P31" s="73" t="str">
        <f>INDEX('Res Measure Mapping'!$S:$S,MATCH($D31,'Res Measure Mapping'!$B:$B,0))</f>
        <v>linear duct ft</v>
      </c>
      <c r="Q31" s="71">
        <f t="shared" si="18"/>
        <v>0.17361189969618615</v>
      </c>
      <c r="R31" s="136">
        <f t="shared" si="4"/>
        <v>2133.7136439267997</v>
      </c>
      <c r="S31" s="13">
        <v>0.61</v>
      </c>
      <c r="T31" s="77">
        <f>IF(INDEX('Res Measure Mapping'!$T:$T,MATCH($D31,'Res Measure Mapping'!$B:$B,0))="N/A",S31,INDEX('Res Measure Mapping'!$T:$T,MATCH($D31,'Res Measure Mapping'!$B:$B,0)))</f>
        <v>2.46</v>
      </c>
      <c r="U31" s="13">
        <f t="shared" si="19"/>
        <v>2.46</v>
      </c>
      <c r="V31" s="13">
        <f t="shared" si="6"/>
        <v>0.18867318803064015</v>
      </c>
      <c r="W31" s="13">
        <f t="shared" si="7"/>
        <v>30233.731519817211</v>
      </c>
      <c r="X31" s="14">
        <f t="shared" si="8"/>
        <v>27914.912612538203</v>
      </c>
      <c r="Y31" s="12">
        <v>30</v>
      </c>
      <c r="Z31" s="73">
        <f>IF(INDEX('Res Measure Mapping'!$U:$U,MATCH($D31,'Res Measure Mapping'!$B:$B,0))="N/A",Y31,INDEX('Res Measure Mapping'!$U:$U,MATCH($D31,'Res Measure Mapping'!$B:$B,0)))</f>
        <v>45</v>
      </c>
      <c r="AA31" s="12">
        <f t="shared" si="11"/>
        <v>45</v>
      </c>
      <c r="AB31" s="12">
        <f t="shared" si="22"/>
        <v>48817.24015324231</v>
      </c>
      <c r="AC31" s="12">
        <f t="shared" si="22"/>
        <v>48817.24015324231</v>
      </c>
      <c r="AD31" s="15">
        <f t="shared" si="10"/>
        <v>6386.7885507366418</v>
      </c>
      <c r="AE31" s="13">
        <v>0.5</v>
      </c>
      <c r="AF31" s="77">
        <f>ROUND(IF(INDEX('Res Measure Mapping'!$V:$V,MATCH($D31,'Res Measure Mapping'!$B:$B,0))="N/A",AE31,INDEX('Res Measure Mapping'!$V:$V,MATCH($D31,'Res Measure Mapping'!$B:$B,0))),0)</f>
        <v>1</v>
      </c>
      <c r="AG31" s="73" t="str">
        <f>INDEX('Res Measure Mapping'!$S:$S,MATCH($D31,'Res Measure Mapping'!$B:$B,0))</f>
        <v>linear duct ft</v>
      </c>
      <c r="AH31" s="13">
        <f>AF31</f>
        <v>1</v>
      </c>
      <c r="AI31" s="13">
        <f t="shared" si="17"/>
        <v>12290.134764153338</v>
      </c>
      <c r="AJ31" s="16">
        <f t="shared" si="13"/>
        <v>0.25175808229988722</v>
      </c>
      <c r="AK31" s="16">
        <f t="shared" si="14"/>
        <v>0.38258867679248576</v>
      </c>
      <c r="AL31" s="82">
        <f>IF($B$2="Original",IF($AI31=0,"-",(VLOOKUP(Y31,'APP 2885'!$B$10:$G$54,6)*$R31)/($AI31+$AD31)),IF($AI31=0,"-",(VLOOKUP(AA31,'APP 2885'!$B$10:$G$54,6)*$R31)/($AI31+$AD31)))</f>
        <v>6.9993030805220959</v>
      </c>
      <c r="AM31" s="17">
        <f t="shared" si="15"/>
        <v>0.57182488245772267</v>
      </c>
      <c r="AN31" s="18">
        <f t="shared" si="16"/>
        <v>0.70265547695032127</v>
      </c>
      <c r="AO31" s="108">
        <f>IF($B$2="Original",IF($AI31=0,"-",(VLOOKUP(Y31,'APP 2885'!$B$10:$G$54,4)*$R31)/($X31+$AD31)),IF($AI31=0,"-",(VLOOKUP(AA31,'APP 2885'!$B$10:$G$54,4)*$R31)/($X31+$AD31)))</f>
        <v>3.4645895488160945</v>
      </c>
    </row>
    <row r="32" spans="3:41" ht="20.100000000000001" customHeight="1" thickBot="1" x14ac:dyDescent="0.3">
      <c r="C32" s="119">
        <v>10</v>
      </c>
      <c r="D32" s="55" t="str">
        <f t="shared" si="0"/>
        <v>Duct Sealing_Zone 1_30% or more of supply ducts in unconditioned space</v>
      </c>
      <c r="E32" s="3" t="s">
        <v>41</v>
      </c>
      <c r="F32" s="3" t="s">
        <v>21</v>
      </c>
      <c r="G32" s="3" t="s">
        <v>42</v>
      </c>
      <c r="H32" s="3" t="str">
        <f t="shared" si="1"/>
        <v>30% or more of supply ducts in unconditioned space</v>
      </c>
      <c r="I32" s="4">
        <v>90</v>
      </c>
      <c r="J32" s="4">
        <v>90</v>
      </c>
      <c r="K32" s="4"/>
      <c r="L32" s="4">
        <f t="shared" si="20"/>
        <v>87.744369710733395</v>
      </c>
      <c r="M32" s="131">
        <v>1.1863467597557442E-2</v>
      </c>
      <c r="N32" s="70">
        <v>27.72</v>
      </c>
      <c r="O32" s="70">
        <f>IF(INDEX('Res Measure Mapping'!$R:$R,MATCH($D32,'Res Measure Mapping'!$B:$B,0))="N/A",N32,INDEX('Res Measure Mapping'!$R:$R,MATCH($D32,'Res Measure Mapping'!$B:$B,0)))</f>
        <v>68.642845139785123</v>
      </c>
      <c r="P32" s="70" t="str">
        <f>INDEX('Res Measure Mapping'!$S:$S,MATCH($D32,'Res Measure Mapping'!$B:$B,0))</f>
        <v>household</v>
      </c>
      <c r="Q32" s="70">
        <f t="shared" si="18"/>
        <v>68.642845139785123</v>
      </c>
      <c r="R32" s="135">
        <f t="shared" si="4"/>
        <v>6023.023181941925</v>
      </c>
      <c r="S32" s="5">
        <v>793.95</v>
      </c>
      <c r="T32" s="76">
        <f>IF(INDEX('Res Measure Mapping'!$T:$T,MATCH($D32,'Res Measure Mapping'!$B:$B,0))="N/A",S32,INDEX('Res Measure Mapping'!$T:$T,MATCH($D32,'Res Measure Mapping'!$B:$B,0)))</f>
        <v>793.95000000000016</v>
      </c>
      <c r="U32" s="5">
        <f t="shared" ref="U32:U43" si="23">S32</f>
        <v>793.95</v>
      </c>
      <c r="V32" s="5">
        <f t="shared" si="6"/>
        <v>46.762160995119132</v>
      </c>
      <c r="W32" s="5">
        <f t="shared" si="7"/>
        <v>69664.642331836789</v>
      </c>
      <c r="X32" s="6">
        <f t="shared" si="8"/>
        <v>65561.525989008223</v>
      </c>
      <c r="Y32" s="4">
        <v>30</v>
      </c>
      <c r="Z32" s="70">
        <f>IF(INDEX('Res Measure Mapping'!$U:$U,MATCH($D32,'Res Measure Mapping'!$B:$B,0))="N/A",Y32,INDEX('Res Measure Mapping'!$U:$U,MATCH($D32,'Res Measure Mapping'!$B:$B,0)))</f>
        <v>20</v>
      </c>
      <c r="AA32" s="4">
        <f t="shared" si="11"/>
        <v>20</v>
      </c>
      <c r="AB32" s="4">
        <f t="shared" si="22"/>
        <v>86381.396691127782</v>
      </c>
      <c r="AC32" s="4">
        <f t="shared" si="22"/>
        <v>86381.396691127782</v>
      </c>
      <c r="AD32" s="7">
        <f t="shared" si="10"/>
        <v>18028.555803980118</v>
      </c>
      <c r="AE32" s="5">
        <v>150</v>
      </c>
      <c r="AF32" s="76">
        <f>ROUND(IF(INDEX('Res Measure Mapping'!$V:$V,MATCH($D32,'Res Measure Mapping'!$B:$B,0))="N/A",AE32,INDEX('Res Measure Mapping'!$V:$V,MATCH($D32,'Res Measure Mapping'!$B:$B,0))),0)</f>
        <v>150</v>
      </c>
      <c r="AG32" s="70" t="str">
        <f>INDEX('Res Measure Mapping'!$S:$S,MATCH($D32,'Res Measure Mapping'!$B:$B,0))</f>
        <v>household</v>
      </c>
      <c r="AH32" s="5">
        <f>AE32</f>
        <v>150</v>
      </c>
      <c r="AI32" s="5">
        <f t="shared" si="17"/>
        <v>13161.655456610009</v>
      </c>
      <c r="AJ32" s="8">
        <f t="shared" si="13"/>
        <v>0.15236678220973754</v>
      </c>
      <c r="AK32" s="8">
        <f t="shared" si="14"/>
        <v>0.36107556088860587</v>
      </c>
      <c r="AL32" s="81">
        <f>IF($B$2="Original",IF($AI32=0,"-",(VLOOKUP(Y32,'APP 2885'!$B$10:$G$54,6)*$R32)/($AI32+$AD32)),IF($AI32=0,"-",(VLOOKUP(AA32,'APP 2885'!$B$10:$G$54,6)*$R32)/($AI32+$AD32)))</f>
        <v>4.0822738742596378</v>
      </c>
      <c r="AM32" s="9">
        <f t="shared" si="15"/>
        <v>0.75897737823614098</v>
      </c>
      <c r="AN32" s="10">
        <f t="shared" si="16"/>
        <v>0.96768615691500937</v>
      </c>
      <c r="AO32" s="107">
        <f>IF($B$2="Original",IF($AI32=0,"-",(VLOOKUP(Y32,'APP 2885'!$B$10:$G$54,4)*$R32)/($X32+$AD32)),IF($AI32=0,"-",(VLOOKUP(AA32,'APP 2885'!$B$10:$G$54,4)*$R32)/($X32+$AD32)))</f>
        <v>1.3847552444523521</v>
      </c>
    </row>
    <row r="33" spans="3:41" ht="20.100000000000001" customHeight="1" thickBot="1" x14ac:dyDescent="0.3">
      <c r="C33" s="119">
        <v>10</v>
      </c>
      <c r="D33" s="55" t="str">
        <f t="shared" si="0"/>
        <v>Duct Sealing_Zone 2_30% or more of supply ducts in unconditioned space</v>
      </c>
      <c r="E33" s="11" t="s">
        <v>41</v>
      </c>
      <c r="F33" s="11" t="s">
        <v>23</v>
      </c>
      <c r="G33" s="11" t="s">
        <v>42</v>
      </c>
      <c r="H33" s="11" t="str">
        <f t="shared" si="1"/>
        <v>30% or more of supply ducts in unconditioned space</v>
      </c>
      <c r="I33" s="12">
        <v>18</v>
      </c>
      <c r="J33" s="12">
        <v>18</v>
      </c>
      <c r="K33" s="12"/>
      <c r="L33" s="12">
        <f t="shared" si="20"/>
        <v>43.782377017166077</v>
      </c>
      <c r="M33" s="132">
        <v>5.9682743144146245E-3</v>
      </c>
      <c r="N33" s="71">
        <v>28</v>
      </c>
      <c r="O33" s="73">
        <f>IF(INDEX('Res Measure Mapping'!$R:$R,MATCH($D33,'Res Measure Mapping'!$B:$B,0))="N/A",N33,INDEX('Res Measure Mapping'!$R:$R,MATCH($D33,'Res Measure Mapping'!$B:$B,0)))</f>
        <v>69.207366856046079</v>
      </c>
      <c r="P33" s="73" t="str">
        <f>INDEX('Res Measure Mapping'!$S:$S,MATCH($D33,'Res Measure Mapping'!$B:$B,0))</f>
        <v>household</v>
      </c>
      <c r="Q33" s="71">
        <f t="shared" si="18"/>
        <v>69.207366856046079</v>
      </c>
      <c r="R33" s="136">
        <f t="shared" si="4"/>
        <v>3030.0630280567329</v>
      </c>
      <c r="S33" s="13">
        <v>793.95</v>
      </c>
      <c r="T33" s="77">
        <f>IF(INDEX('Res Measure Mapping'!$T:$T,MATCH($D33,'Res Measure Mapping'!$B:$B,0))="N/A",S33,INDEX('Res Measure Mapping'!$T:$T,MATCH($D33,'Res Measure Mapping'!$B:$B,0)))</f>
        <v>793.95000000000016</v>
      </c>
      <c r="U33" s="13">
        <f t="shared" si="23"/>
        <v>793.95</v>
      </c>
      <c r="V33" s="13">
        <f t="shared" si="6"/>
        <v>47.14673502213212</v>
      </c>
      <c r="W33" s="13">
        <f t="shared" si="7"/>
        <v>34761.01823277901</v>
      </c>
      <c r="X33" s="14">
        <f t="shared" si="8"/>
        <v>32696.822104911593</v>
      </c>
      <c r="Y33" s="12">
        <v>30</v>
      </c>
      <c r="Z33" s="73">
        <f>IF(INDEX('Res Measure Mapping'!$U:$U,MATCH($D33,'Res Measure Mapping'!$B:$B,0))="N/A",Y33,INDEX('Res Measure Mapping'!$U:$U,MATCH($D33,'Res Measure Mapping'!$B:$B,0)))</f>
        <v>20</v>
      </c>
      <c r="AA33" s="12">
        <f t="shared" si="11"/>
        <v>20</v>
      </c>
      <c r="AB33" s="12">
        <f t="shared" si="22"/>
        <v>43456.760586682445</v>
      </c>
      <c r="AC33" s="12">
        <f t="shared" si="22"/>
        <v>43456.760586682445</v>
      </c>
      <c r="AD33" s="15">
        <f t="shared" si="10"/>
        <v>9069.8074273864731</v>
      </c>
      <c r="AE33" s="13">
        <v>150</v>
      </c>
      <c r="AF33" s="77">
        <f>ROUND(IF(INDEX('Res Measure Mapping'!$V:$V,MATCH($D33,'Res Measure Mapping'!$B:$B,0))="N/A",AE33,INDEX('Res Measure Mapping'!$V:$V,MATCH($D33,'Res Measure Mapping'!$B:$B,0))),0)</f>
        <v>150</v>
      </c>
      <c r="AG33" s="73" t="str">
        <f>INDEX('Res Measure Mapping'!$S:$S,MATCH($D33,'Res Measure Mapping'!$B:$B,0))</f>
        <v>household</v>
      </c>
      <c r="AH33" s="13">
        <f>AE33</f>
        <v>150</v>
      </c>
      <c r="AI33" s="13">
        <f t="shared" si="17"/>
        <v>6567.3565525749118</v>
      </c>
      <c r="AJ33" s="16">
        <f t="shared" si="13"/>
        <v>0.15112393247709111</v>
      </c>
      <c r="AK33" s="16">
        <f t="shared" si="14"/>
        <v>0.35983271115595938</v>
      </c>
      <c r="AL33" s="82">
        <f>IF($B$2="Original",IF($AI33=0,"-",(VLOOKUP(Y33,'APP 2885'!$B$10:$G$54,6)*$R33)/($AI33+$AD33)),IF($AI33=0,"-",(VLOOKUP(AA33,'APP 2885'!$B$10:$G$54,6)*$R33)/($AI33+$AD33)))</f>
        <v>4.0963739069579272</v>
      </c>
      <c r="AM33" s="17">
        <f t="shared" si="15"/>
        <v>0.75239897460124328</v>
      </c>
      <c r="AN33" s="18">
        <f t="shared" si="16"/>
        <v>0.96110775328011155</v>
      </c>
      <c r="AO33" s="108">
        <f>IF($B$2="Original",IF($AI33=0,"-",(VLOOKUP(Y33,'APP 2885'!$B$10:$G$54,4)*$R33)/($X33+$AD33)),IF($AI33=0,"-",(VLOOKUP(AA33,'APP 2885'!$B$10:$G$54,4)*$R33)/($X33+$AD33)))</f>
        <v>1.3942333481326727</v>
      </c>
    </row>
    <row r="34" spans="3:41" ht="20.100000000000001" customHeight="1" thickBot="1" x14ac:dyDescent="0.3">
      <c r="C34" s="119">
        <v>10</v>
      </c>
      <c r="D34" s="55" t="str">
        <f t="shared" si="0"/>
        <v>Duct Sealing_Zone 3_30% or more of supply ducts in unconditioned space</v>
      </c>
      <c r="E34" s="3" t="s">
        <v>41</v>
      </c>
      <c r="F34" s="3" t="s">
        <v>24</v>
      </c>
      <c r="G34" s="3" t="s">
        <v>42</v>
      </c>
      <c r="H34" s="3" t="str">
        <f t="shared" si="1"/>
        <v>30% or more of supply ducts in unconditioned space</v>
      </c>
      <c r="I34" s="4">
        <v>16</v>
      </c>
      <c r="J34" s="4">
        <v>16</v>
      </c>
      <c r="K34" s="4"/>
      <c r="L34" s="4">
        <f t="shared" si="20"/>
        <v>72.577298842296074</v>
      </c>
      <c r="M34" s="131">
        <v>8.6890628426572261E-3</v>
      </c>
      <c r="N34" s="70">
        <v>28</v>
      </c>
      <c r="O34" s="70">
        <f>IF(INDEX('Res Measure Mapping'!$R:$R,MATCH($D34,'Res Measure Mapping'!$B:$B,0))="N/A",N34,INDEX('Res Measure Mapping'!$R:$R,MATCH($D34,'Res Measure Mapping'!$B:$B,0)))</f>
        <v>60.782005258812696</v>
      </c>
      <c r="P34" s="70" t="str">
        <f>INDEX('Res Measure Mapping'!$S:$S,MATCH($D34,'Res Measure Mapping'!$B:$B,0))</f>
        <v>household</v>
      </c>
      <c r="Q34" s="70">
        <f t="shared" si="18"/>
        <v>60.782005258812696</v>
      </c>
      <c r="R34" s="135">
        <f t="shared" si="4"/>
        <v>4411.3937599028604</v>
      </c>
      <c r="S34" s="5">
        <v>793.95</v>
      </c>
      <c r="T34" s="76">
        <f>IF(INDEX('Res Measure Mapping'!$T:$T,MATCH($D34,'Res Measure Mapping'!$B:$B,0))="N/A",S34,INDEX('Res Measure Mapping'!$T:$T,MATCH($D34,'Res Measure Mapping'!$B:$B,0)))</f>
        <v>793.95000000000016</v>
      </c>
      <c r="U34" s="5">
        <f t="shared" si="23"/>
        <v>793.95</v>
      </c>
      <c r="V34" s="5">
        <f t="shared" si="6"/>
        <v>41.40705283603392</v>
      </c>
      <c r="W34" s="5">
        <f t="shared" si="7"/>
        <v>57622.746415840971</v>
      </c>
      <c r="X34" s="6">
        <f t="shared" si="8"/>
        <v>54617.534367981396</v>
      </c>
      <c r="Y34" s="4">
        <v>30</v>
      </c>
      <c r="Z34" s="70">
        <f>IF(INDEX('Res Measure Mapping'!$U:$U,MATCH($D34,'Res Measure Mapping'!$B:$B,0))="N/A",Y34,INDEX('Res Measure Mapping'!$U:$U,MATCH($D34,'Res Measure Mapping'!$B:$B,0)))</f>
        <v>20</v>
      </c>
      <c r="AA34" s="4">
        <f t="shared" si="11"/>
        <v>20</v>
      </c>
      <c r="AB34" s="4">
        <f t="shared" si="22"/>
        <v>63267.622060201618</v>
      </c>
      <c r="AC34" s="4">
        <f t="shared" si="22"/>
        <v>63267.622060201618</v>
      </c>
      <c r="AD34" s="7">
        <f t="shared" si="10"/>
        <v>13204.508130100907</v>
      </c>
      <c r="AE34" s="5">
        <v>150</v>
      </c>
      <c r="AF34" s="76">
        <f>ROUND(IF(INDEX('Res Measure Mapping'!$V:$V,MATCH($D34,'Res Measure Mapping'!$B:$B,0))="N/A",AE34,INDEX('Res Measure Mapping'!$V:$V,MATCH($D34,'Res Measure Mapping'!$B:$B,0))),0)</f>
        <v>150</v>
      </c>
      <c r="AG34" s="70" t="str">
        <f>INDEX('Res Measure Mapping'!$S:$S,MATCH($D34,'Res Measure Mapping'!$B:$B,0))</f>
        <v>household</v>
      </c>
      <c r="AH34" s="5">
        <f>AE34</f>
        <v>150</v>
      </c>
      <c r="AI34" s="5">
        <f t="shared" si="17"/>
        <v>10886.594826344412</v>
      </c>
      <c r="AJ34" s="8">
        <f t="shared" si="13"/>
        <v>0.17207213534887389</v>
      </c>
      <c r="AK34" s="8">
        <f t="shared" si="14"/>
        <v>0.38078091402774222</v>
      </c>
      <c r="AL34" s="81">
        <f>IF($B$2="Original",IF($AI34=0,"-",(VLOOKUP(Y34,'APP 2885'!$B$10:$G$54,6)*$R34)/($AI34+$AD34)),IF($AI34=0,"-",(VLOOKUP(AA34,'APP 2885'!$B$10:$G$54,6)*$R34)/($AI34+$AD34)))</f>
        <v>3.8710168355281862</v>
      </c>
      <c r="AM34" s="9">
        <f t="shared" si="15"/>
        <v>0.86327781240158952</v>
      </c>
      <c r="AN34" s="10">
        <f t="shared" si="16"/>
        <v>1.0719865910804578</v>
      </c>
      <c r="AO34" s="107">
        <f>IF($B$2="Original",IF($AI34=0,"-",(VLOOKUP(Y34,'APP 2885'!$B$10:$G$54,4)*$R34)/($X34+$AD34)),IF($AI34=0,"-",(VLOOKUP(AA34,'APP 2885'!$B$10:$G$54,4)*$R34)/($X34+$AD34)))</f>
        <v>1.2500235468630287</v>
      </c>
    </row>
    <row r="35" spans="3:41" ht="20.100000000000001" customHeight="1" thickBot="1" x14ac:dyDescent="0.3">
      <c r="C35" s="119" t="s">
        <v>125</v>
      </c>
      <c r="D35" s="55" t="str">
        <f t="shared" si="0"/>
        <v>Energy Savings Kit 1_Zone 1_One Low Flow Showerhead plus Aerators</v>
      </c>
      <c r="E35" s="11" t="s">
        <v>43</v>
      </c>
      <c r="F35" s="11" t="s">
        <v>21</v>
      </c>
      <c r="G35" s="11" t="s">
        <v>44</v>
      </c>
      <c r="H35" s="11" t="str">
        <f t="shared" si="1"/>
        <v>One Low Flow Showerhead plus Aerators</v>
      </c>
      <c r="I35" s="12">
        <v>57</v>
      </c>
      <c r="J35" s="12">
        <v>57</v>
      </c>
      <c r="K35" s="12"/>
      <c r="L35" s="12">
        <f t="shared" si="20"/>
        <v>0</v>
      </c>
      <c r="M35" s="132">
        <v>0</v>
      </c>
      <c r="N35" s="71">
        <v>17</v>
      </c>
      <c r="O35" s="73">
        <f>IF(INDEX('Res Measure Mapping'!$R:$R,MATCH($D35,'Res Measure Mapping'!$B:$B,0))="N/A",N35,INDEX('Res Measure Mapping'!$R:$R,MATCH($D35,'Res Measure Mapping'!$B:$B,0)))</f>
        <v>17</v>
      </c>
      <c r="P35" s="73" t="str">
        <f>INDEX('Res Measure Mapping'!$S:$S,MATCH($D35,'Res Measure Mapping'!$B:$B,0))</f>
        <v>N/A</v>
      </c>
      <c r="Q35" s="71">
        <f t="shared" ref="Q35:Q40" si="24">N35</f>
        <v>17</v>
      </c>
      <c r="R35" s="136">
        <f t="shared" si="4"/>
        <v>0</v>
      </c>
      <c r="S35" s="13">
        <v>10</v>
      </c>
      <c r="T35" s="77" t="s">
        <v>125</v>
      </c>
      <c r="U35" s="13">
        <f t="shared" si="23"/>
        <v>10</v>
      </c>
      <c r="V35" s="13">
        <f>IF(B2="Original",PV($F$96,$Y35,-8.6),PV($F$96,$AA35,-8.6))</f>
        <v>71.884665695689918</v>
      </c>
      <c r="W35" s="13">
        <f t="shared" si="7"/>
        <v>0</v>
      </c>
      <c r="X35" s="14">
        <f t="shared" si="8"/>
        <v>0</v>
      </c>
      <c r="Y35" s="12">
        <v>10</v>
      </c>
      <c r="Z35" s="73">
        <f>IF(INDEX('Res Measure Mapping'!$U:$U,MATCH($D35,'Res Measure Mapping'!$B:$B,0))="N/A",Y35,INDEX('Res Measure Mapping'!$U:$U,MATCH($D35,'Res Measure Mapping'!$B:$B,0)))</f>
        <v>10</v>
      </c>
      <c r="AA35" s="12">
        <f t="shared" si="11"/>
        <v>10</v>
      </c>
      <c r="AB35" s="12">
        <f t="shared" si="22"/>
        <v>0</v>
      </c>
      <c r="AC35" s="12">
        <f t="shared" si="22"/>
        <v>0</v>
      </c>
      <c r="AD35" s="15">
        <f t="shared" si="10"/>
        <v>0</v>
      </c>
      <c r="AE35" s="13">
        <v>10</v>
      </c>
      <c r="AF35" s="77">
        <f>ROUND(IF(INDEX('Res Measure Mapping'!$V:$V,MATCH($D35,'Res Measure Mapping'!$B:$B,0))="N/A",AE35,INDEX('Res Measure Mapping'!$V:$V,MATCH($D35,'Res Measure Mapping'!$B:$B,0))),0)</f>
        <v>10</v>
      </c>
      <c r="AG35" s="73" t="str">
        <f>INDEX('Res Measure Mapping'!$S:$S,MATCH($D35,'Res Measure Mapping'!$B:$B,0))</f>
        <v>N/A</v>
      </c>
      <c r="AH35" s="13">
        <f t="shared" ref="AH35:AH40" si="25">AE35</f>
        <v>10</v>
      </c>
      <c r="AI35" s="13">
        <f t="shared" si="17"/>
        <v>0</v>
      </c>
      <c r="AJ35" s="16">
        <f t="shared" si="13"/>
        <v>0</v>
      </c>
      <c r="AK35" s="16">
        <f t="shared" si="14"/>
        <v>0</v>
      </c>
      <c r="AL35" s="82" t="str">
        <f>IF($B$2="Original",IF($AI35=0,"-",(VLOOKUP(Y35,'APP 2885'!$B$10:$G$54,6)*$R35)/($AI35+$AD35)),IF($AI35=0,"-",(VLOOKUP(AA35,'APP 2885'!$B$10:$G$54,6)*$R35)/($AI35+$AD35)))</f>
        <v>-</v>
      </c>
      <c r="AM35" s="17">
        <f t="shared" si="15"/>
        <v>0</v>
      </c>
      <c r="AN35" s="18">
        <f t="shared" si="16"/>
        <v>0</v>
      </c>
      <c r="AO35" s="108" t="str">
        <f>IF($B$2="Original",IF($AI35=0,"-",(VLOOKUP(Y35,'APP 2885'!$B$10:$G$54,4)*$R35)/($X35+$AD35)),IF($AI35=0,"-",(VLOOKUP(AA35,'APP 2885'!$B$10:$G$54,4)*$R35)/($X35+$AD35)))</f>
        <v>-</v>
      </c>
    </row>
    <row r="36" spans="3:41" ht="20.100000000000001" customHeight="1" thickBot="1" x14ac:dyDescent="0.3">
      <c r="C36" s="119" t="s">
        <v>125</v>
      </c>
      <c r="D36" s="55" t="str">
        <f t="shared" si="0"/>
        <v>Energy Savings Kit 1_Zone 2_One Low Flow Showerhead plus Aerators</v>
      </c>
      <c r="E36" s="3" t="s">
        <v>43</v>
      </c>
      <c r="F36" s="3" t="s">
        <v>23</v>
      </c>
      <c r="G36" s="3" t="s">
        <v>44</v>
      </c>
      <c r="H36" s="3" t="str">
        <f t="shared" si="1"/>
        <v>One Low Flow Showerhead plus Aerators</v>
      </c>
      <c r="I36" s="4">
        <v>29</v>
      </c>
      <c r="J36" s="4">
        <v>29</v>
      </c>
      <c r="K36" s="4"/>
      <c r="L36" s="4">
        <f t="shared" si="20"/>
        <v>0</v>
      </c>
      <c r="M36" s="131">
        <v>0</v>
      </c>
      <c r="N36" s="70">
        <v>17</v>
      </c>
      <c r="O36" s="70">
        <f>IF(INDEX('Res Measure Mapping'!$R:$R,MATCH($D36,'Res Measure Mapping'!$B:$B,0))="N/A",N36,INDEX('Res Measure Mapping'!$R:$R,MATCH($D36,'Res Measure Mapping'!$B:$B,0)))</f>
        <v>17</v>
      </c>
      <c r="P36" s="70" t="str">
        <f>INDEX('Res Measure Mapping'!$S:$S,MATCH($D36,'Res Measure Mapping'!$B:$B,0))</f>
        <v>N/A</v>
      </c>
      <c r="Q36" s="70">
        <f t="shared" si="24"/>
        <v>17</v>
      </c>
      <c r="R36" s="135">
        <f t="shared" si="4"/>
        <v>0</v>
      </c>
      <c r="S36" s="5">
        <v>10</v>
      </c>
      <c r="T36" s="76" t="s">
        <v>125</v>
      </c>
      <c r="U36" s="5">
        <f t="shared" si="23"/>
        <v>10</v>
      </c>
      <c r="V36" s="5">
        <f>IF(B3="Original",PV($F$96,$Y36,-8.6),PV($F$96,$AA36,-8.6))</f>
        <v>71.884665695689918</v>
      </c>
      <c r="W36" s="5">
        <f t="shared" si="7"/>
        <v>0</v>
      </c>
      <c r="X36" s="6">
        <f t="shared" si="8"/>
        <v>0</v>
      </c>
      <c r="Y36" s="4">
        <v>10</v>
      </c>
      <c r="Z36" s="70">
        <f>IF(INDEX('Res Measure Mapping'!$U:$U,MATCH($D36,'Res Measure Mapping'!$B:$B,0))="N/A",Y36,INDEX('Res Measure Mapping'!$U:$U,MATCH($D36,'Res Measure Mapping'!$B:$B,0)))</f>
        <v>10</v>
      </c>
      <c r="AA36" s="4">
        <f t="shared" si="11"/>
        <v>10</v>
      </c>
      <c r="AB36" s="4">
        <f t="shared" si="22"/>
        <v>0</v>
      </c>
      <c r="AC36" s="4">
        <f t="shared" si="22"/>
        <v>0</v>
      </c>
      <c r="AD36" s="7">
        <f t="shared" si="10"/>
        <v>0</v>
      </c>
      <c r="AE36" s="5">
        <v>10</v>
      </c>
      <c r="AF36" s="76">
        <f>ROUND(IF(INDEX('Res Measure Mapping'!$V:$V,MATCH($D36,'Res Measure Mapping'!$B:$B,0))="N/A",AE36,INDEX('Res Measure Mapping'!$V:$V,MATCH($D36,'Res Measure Mapping'!$B:$B,0))),0)</f>
        <v>10</v>
      </c>
      <c r="AG36" s="70" t="str">
        <f>INDEX('Res Measure Mapping'!$S:$S,MATCH($D36,'Res Measure Mapping'!$B:$B,0))</f>
        <v>N/A</v>
      </c>
      <c r="AH36" s="5">
        <f t="shared" si="25"/>
        <v>10</v>
      </c>
      <c r="AI36" s="5">
        <f t="shared" si="17"/>
        <v>0</v>
      </c>
      <c r="AJ36" s="8">
        <f t="shared" si="13"/>
        <v>0</v>
      </c>
      <c r="AK36" s="8">
        <f t="shared" si="14"/>
        <v>0</v>
      </c>
      <c r="AL36" s="81" t="str">
        <f>IF($B$2="Original",IF($AI36=0,"-",(VLOOKUP(Y36,'APP 2885'!$B$10:$G$54,6)*$R36)/($AI36+$AD36)),IF($AI36=0,"-",(VLOOKUP(AA36,'APP 2885'!$B$10:$G$54,6)*$R36)/($AI36+$AD36)))</f>
        <v>-</v>
      </c>
      <c r="AM36" s="9">
        <f t="shared" si="15"/>
        <v>0</v>
      </c>
      <c r="AN36" s="10">
        <f t="shared" si="16"/>
        <v>0</v>
      </c>
      <c r="AO36" s="107" t="str">
        <f>IF($B$2="Original",IF($AI36=0,"-",(VLOOKUP(Y36,'APP 2885'!$B$10:$G$54,4)*$R36)/($X36+$AD36)),IF($AI36=0,"-",(VLOOKUP(AA36,'APP 2885'!$B$10:$G$54,4)*$R36)/($X36+$AD36)))</f>
        <v>-</v>
      </c>
    </row>
    <row r="37" spans="3:41" ht="20.100000000000001" customHeight="1" thickBot="1" x14ac:dyDescent="0.3">
      <c r="C37" s="119" t="s">
        <v>125</v>
      </c>
      <c r="D37" s="55" t="str">
        <f t="shared" si="0"/>
        <v>Energy Savings Kit 1_Zone 3_One Low Flow Showerhead plus Aerators</v>
      </c>
      <c r="E37" s="11" t="s">
        <v>43</v>
      </c>
      <c r="F37" s="11" t="s">
        <v>24</v>
      </c>
      <c r="G37" s="11" t="s">
        <v>44</v>
      </c>
      <c r="H37" s="11" t="str">
        <f t="shared" si="1"/>
        <v>One Low Flow Showerhead plus Aerators</v>
      </c>
      <c r="I37" s="12">
        <v>41</v>
      </c>
      <c r="J37" s="12">
        <v>41</v>
      </c>
      <c r="K37" s="12"/>
      <c r="L37" s="12">
        <f t="shared" si="20"/>
        <v>0</v>
      </c>
      <c r="M37" s="132">
        <v>0</v>
      </c>
      <c r="N37" s="71">
        <v>17</v>
      </c>
      <c r="O37" s="73">
        <f>IF(INDEX('Res Measure Mapping'!$R:$R,MATCH($D37,'Res Measure Mapping'!$B:$B,0))="N/A",N37,INDEX('Res Measure Mapping'!$R:$R,MATCH($D37,'Res Measure Mapping'!$B:$B,0)))</f>
        <v>17</v>
      </c>
      <c r="P37" s="73" t="str">
        <f>INDEX('Res Measure Mapping'!$S:$S,MATCH($D37,'Res Measure Mapping'!$B:$B,0))</f>
        <v>N/A</v>
      </c>
      <c r="Q37" s="71">
        <f t="shared" si="24"/>
        <v>17</v>
      </c>
      <c r="R37" s="136">
        <f t="shared" si="4"/>
        <v>0</v>
      </c>
      <c r="S37" s="13">
        <v>10</v>
      </c>
      <c r="T37" s="77" t="s">
        <v>125</v>
      </c>
      <c r="U37" s="13">
        <f t="shared" si="23"/>
        <v>10</v>
      </c>
      <c r="V37" s="13">
        <f>IF(B4="Original",PV($F$96,$Y37,-8.6),PV($F$96,$AA37,-8.6))</f>
        <v>71.884665695689918</v>
      </c>
      <c r="W37" s="13">
        <f t="shared" si="7"/>
        <v>0</v>
      </c>
      <c r="X37" s="14">
        <f t="shared" si="8"/>
        <v>0</v>
      </c>
      <c r="Y37" s="12">
        <v>10</v>
      </c>
      <c r="Z37" s="73">
        <f>IF(INDEX('Res Measure Mapping'!$U:$U,MATCH($D37,'Res Measure Mapping'!$B:$B,0))="N/A",Y37,INDEX('Res Measure Mapping'!$U:$U,MATCH($D37,'Res Measure Mapping'!$B:$B,0)))</f>
        <v>10</v>
      </c>
      <c r="AA37" s="12">
        <f t="shared" si="11"/>
        <v>10</v>
      </c>
      <c r="AB37" s="12">
        <f t="shared" si="22"/>
        <v>0</v>
      </c>
      <c r="AC37" s="12">
        <f t="shared" si="22"/>
        <v>0</v>
      </c>
      <c r="AD37" s="15">
        <f t="shared" si="10"/>
        <v>0</v>
      </c>
      <c r="AE37" s="13">
        <v>10</v>
      </c>
      <c r="AF37" s="77">
        <f>ROUND(IF(INDEX('Res Measure Mapping'!$V:$V,MATCH($D37,'Res Measure Mapping'!$B:$B,0))="N/A",AE37,INDEX('Res Measure Mapping'!$V:$V,MATCH($D37,'Res Measure Mapping'!$B:$B,0))),0)</f>
        <v>10</v>
      </c>
      <c r="AG37" s="73" t="str">
        <f>INDEX('Res Measure Mapping'!$S:$S,MATCH($D37,'Res Measure Mapping'!$B:$B,0))</f>
        <v>N/A</v>
      </c>
      <c r="AH37" s="13">
        <f t="shared" si="25"/>
        <v>10</v>
      </c>
      <c r="AI37" s="13">
        <f t="shared" si="17"/>
        <v>0</v>
      </c>
      <c r="AJ37" s="16">
        <f t="shared" si="13"/>
        <v>0</v>
      </c>
      <c r="AK37" s="16">
        <f t="shared" si="14"/>
        <v>0</v>
      </c>
      <c r="AL37" s="82" t="str">
        <f>IF($B$2="Original",IF($AI37=0,"-",(VLOOKUP(Y37,'APP 2885'!$B$10:$G$54,6)*$R37)/($AI37+$AD37)),IF($AI37=0,"-",(VLOOKUP(AA37,'APP 2885'!$B$10:$G$54,6)*$R37)/($AI37+$AD37)))</f>
        <v>-</v>
      </c>
      <c r="AM37" s="17">
        <f t="shared" si="15"/>
        <v>0</v>
      </c>
      <c r="AN37" s="18">
        <f t="shared" si="16"/>
        <v>0</v>
      </c>
      <c r="AO37" s="108" t="str">
        <f>IF($B$2="Original",IF($AI37=0,"-",(VLOOKUP(Y37,'APP 2885'!$B$10:$G$54,4)*$R37)/($X37+$AD37)),IF($AI37=0,"-",(VLOOKUP(AA37,'APP 2885'!$B$10:$G$54,4)*$R37)/($X37+$AD37)))</f>
        <v>-</v>
      </c>
    </row>
    <row r="38" spans="3:41" ht="20.100000000000001" customHeight="1" thickBot="1" x14ac:dyDescent="0.3">
      <c r="C38" s="119" t="s">
        <v>125</v>
      </c>
      <c r="D38" s="55" t="str">
        <f t="shared" si="0"/>
        <v>Energy Savings Kit 2_Zone 1_Two Low Flow Showerheads plus Aerators</v>
      </c>
      <c r="E38" s="3" t="s">
        <v>45</v>
      </c>
      <c r="F38" s="3" t="s">
        <v>21</v>
      </c>
      <c r="G38" s="3" t="s">
        <v>46</v>
      </c>
      <c r="H38" s="3" t="str">
        <f t="shared" si="1"/>
        <v>Two Low Flow Showerheads plus Aerators</v>
      </c>
      <c r="I38" s="4">
        <v>191</v>
      </c>
      <c r="J38" s="4">
        <v>191</v>
      </c>
      <c r="K38" s="4"/>
      <c r="L38" s="4">
        <f t="shared" si="20"/>
        <v>0</v>
      </c>
      <c r="M38" s="131">
        <v>0</v>
      </c>
      <c r="N38" s="70">
        <v>31</v>
      </c>
      <c r="O38" s="70">
        <f>IF(INDEX('Res Measure Mapping'!$R:$R,MATCH($D38,'Res Measure Mapping'!$B:$B,0))="N/A",N38,INDEX('Res Measure Mapping'!$R:$R,MATCH($D38,'Res Measure Mapping'!$B:$B,0)))</f>
        <v>31</v>
      </c>
      <c r="P38" s="70" t="str">
        <f>INDEX('Res Measure Mapping'!$S:$S,MATCH($D38,'Res Measure Mapping'!$B:$B,0))</f>
        <v>N/A</v>
      </c>
      <c r="Q38" s="70">
        <f t="shared" si="24"/>
        <v>31</v>
      </c>
      <c r="R38" s="135">
        <f t="shared" si="4"/>
        <v>0</v>
      </c>
      <c r="S38" s="5">
        <v>16</v>
      </c>
      <c r="T38" s="76" t="s">
        <v>125</v>
      </c>
      <c r="U38" s="5">
        <f t="shared" si="23"/>
        <v>16</v>
      </c>
      <c r="V38" s="5">
        <f>IF(B5="Original",PV($F$96,$Y38,-8.6),PV($F$96,$AA38,-8.6))</f>
        <v>71.884665695689918</v>
      </c>
      <c r="W38" s="5">
        <f t="shared" si="7"/>
        <v>0</v>
      </c>
      <c r="X38" s="6">
        <f t="shared" si="8"/>
        <v>0</v>
      </c>
      <c r="Y38" s="4">
        <v>10</v>
      </c>
      <c r="Z38" s="70">
        <f>IF(INDEX('Res Measure Mapping'!$U:$U,MATCH($D38,'Res Measure Mapping'!$B:$B,0))="N/A",Y38,INDEX('Res Measure Mapping'!$U:$U,MATCH($D38,'Res Measure Mapping'!$B:$B,0)))</f>
        <v>10</v>
      </c>
      <c r="AA38" s="4">
        <f t="shared" si="11"/>
        <v>10</v>
      </c>
      <c r="AB38" s="4">
        <f t="shared" si="22"/>
        <v>0</v>
      </c>
      <c r="AC38" s="4">
        <f t="shared" si="22"/>
        <v>0</v>
      </c>
      <c r="AD38" s="7">
        <f t="shared" si="10"/>
        <v>0</v>
      </c>
      <c r="AE38" s="5">
        <v>16</v>
      </c>
      <c r="AF38" s="76">
        <f>ROUND(IF(INDEX('Res Measure Mapping'!$V:$V,MATCH($D38,'Res Measure Mapping'!$B:$B,0))="N/A",AE38,INDEX('Res Measure Mapping'!$V:$V,MATCH($D38,'Res Measure Mapping'!$B:$B,0))),0)</f>
        <v>16</v>
      </c>
      <c r="AG38" s="70" t="str">
        <f>INDEX('Res Measure Mapping'!$S:$S,MATCH($D38,'Res Measure Mapping'!$B:$B,0))</f>
        <v>N/A</v>
      </c>
      <c r="AH38" s="5">
        <f t="shared" si="25"/>
        <v>16</v>
      </c>
      <c r="AI38" s="5">
        <f t="shared" si="17"/>
        <v>0</v>
      </c>
      <c r="AJ38" s="8">
        <f t="shared" si="13"/>
        <v>0</v>
      </c>
      <c r="AK38" s="8">
        <f t="shared" si="14"/>
        <v>0</v>
      </c>
      <c r="AL38" s="81" t="str">
        <f>IF($B$2="Original",IF($AI38=0,"-",(VLOOKUP(Y38,'APP 2885'!$B$10:$G$54,6)*$R38)/($AI38+$AD38)),IF($AI38=0,"-",(VLOOKUP(AA38,'APP 2885'!$B$10:$G$54,6)*$R38)/($AI38+$AD38)))</f>
        <v>-</v>
      </c>
      <c r="AM38" s="9">
        <f t="shared" si="15"/>
        <v>0</v>
      </c>
      <c r="AN38" s="10">
        <f t="shared" si="16"/>
        <v>0</v>
      </c>
      <c r="AO38" s="107" t="str">
        <f>IF($B$2="Original",IF($AI38=0,"-",(VLOOKUP(Y38,'APP 2885'!$B$10:$G$54,4)*$R38)/($X38+$AD38)),IF($AI38=0,"-",(VLOOKUP(AA38,'APP 2885'!$B$10:$G$54,4)*$R38)/($X38+$AD38)))</f>
        <v>-</v>
      </c>
    </row>
    <row r="39" spans="3:41" ht="20.100000000000001" customHeight="1" thickBot="1" x14ac:dyDescent="0.3">
      <c r="C39" s="119" t="s">
        <v>125</v>
      </c>
      <c r="D39" s="55" t="str">
        <f t="shared" si="0"/>
        <v>Energy Savings Kit 2_Zone 2_Two Low Flow Showerheads plus Aerators</v>
      </c>
      <c r="E39" s="11" t="s">
        <v>45</v>
      </c>
      <c r="F39" s="11" t="s">
        <v>23</v>
      </c>
      <c r="G39" s="11" t="s">
        <v>46</v>
      </c>
      <c r="H39" s="11" t="str">
        <f t="shared" si="1"/>
        <v>Two Low Flow Showerheads plus Aerators</v>
      </c>
      <c r="I39" s="12">
        <v>90</v>
      </c>
      <c r="J39" s="12">
        <v>90</v>
      </c>
      <c r="K39" s="12"/>
      <c r="L39" s="12">
        <f t="shared" si="20"/>
        <v>0</v>
      </c>
      <c r="M39" s="132">
        <v>0</v>
      </c>
      <c r="N39" s="71">
        <v>31</v>
      </c>
      <c r="O39" s="73">
        <f>IF(INDEX('Res Measure Mapping'!$R:$R,MATCH($D39,'Res Measure Mapping'!$B:$B,0))="N/A",N39,INDEX('Res Measure Mapping'!$R:$R,MATCH($D39,'Res Measure Mapping'!$B:$B,0)))</f>
        <v>31</v>
      </c>
      <c r="P39" s="73" t="str">
        <f>INDEX('Res Measure Mapping'!$S:$S,MATCH($D39,'Res Measure Mapping'!$B:$B,0))</f>
        <v>N/A</v>
      </c>
      <c r="Q39" s="71">
        <f t="shared" si="24"/>
        <v>31</v>
      </c>
      <c r="R39" s="136">
        <f t="shared" si="4"/>
        <v>0</v>
      </c>
      <c r="S39" s="13">
        <v>16</v>
      </c>
      <c r="T39" s="77" t="s">
        <v>125</v>
      </c>
      <c r="U39" s="13">
        <f t="shared" si="23"/>
        <v>16</v>
      </c>
      <c r="V39" s="13">
        <f>IF(B2="Original",PV($F$96,$Y39,-8.6),PV($F$96,$AA39,-8.6))</f>
        <v>71.884665695689918</v>
      </c>
      <c r="W39" s="13">
        <f t="shared" si="7"/>
        <v>0</v>
      </c>
      <c r="X39" s="14">
        <f t="shared" si="8"/>
        <v>0</v>
      </c>
      <c r="Y39" s="12">
        <v>10</v>
      </c>
      <c r="Z39" s="73">
        <f>IF(INDEX('Res Measure Mapping'!$U:$U,MATCH($D39,'Res Measure Mapping'!$B:$B,0))="N/A",Y39,INDEX('Res Measure Mapping'!$U:$U,MATCH($D39,'Res Measure Mapping'!$B:$B,0)))</f>
        <v>10</v>
      </c>
      <c r="AA39" s="12">
        <f t="shared" si="11"/>
        <v>10</v>
      </c>
      <c r="AB39" s="12">
        <f t="shared" si="22"/>
        <v>0</v>
      </c>
      <c r="AC39" s="12">
        <f t="shared" si="22"/>
        <v>0</v>
      </c>
      <c r="AD39" s="15">
        <f t="shared" si="10"/>
        <v>0</v>
      </c>
      <c r="AE39" s="13">
        <v>16</v>
      </c>
      <c r="AF39" s="77">
        <f>ROUND(IF(INDEX('Res Measure Mapping'!$V:$V,MATCH($D39,'Res Measure Mapping'!$B:$B,0))="N/A",AE39,INDEX('Res Measure Mapping'!$V:$V,MATCH($D39,'Res Measure Mapping'!$B:$B,0))),0)</f>
        <v>16</v>
      </c>
      <c r="AG39" s="73" t="str">
        <f>INDEX('Res Measure Mapping'!$S:$S,MATCH($D39,'Res Measure Mapping'!$B:$B,0))</f>
        <v>N/A</v>
      </c>
      <c r="AH39" s="13">
        <f t="shared" si="25"/>
        <v>16</v>
      </c>
      <c r="AI39" s="13">
        <f t="shared" si="17"/>
        <v>0</v>
      </c>
      <c r="AJ39" s="16">
        <f t="shared" si="13"/>
        <v>0</v>
      </c>
      <c r="AK39" s="16">
        <f t="shared" si="14"/>
        <v>0</v>
      </c>
      <c r="AL39" s="82" t="str">
        <f>IF($B$2="Original",IF($AI39=0,"-",(VLOOKUP(Y39,'APP 2885'!$B$10:$G$54,6)*$R39)/($AI39+$AD39)),IF($AI39=0,"-",(VLOOKUP(AA39,'APP 2885'!$B$10:$G$54,6)*$R39)/($AI39+$AD39)))</f>
        <v>-</v>
      </c>
      <c r="AM39" s="17">
        <f t="shared" si="15"/>
        <v>0</v>
      </c>
      <c r="AN39" s="18">
        <f t="shared" si="16"/>
        <v>0</v>
      </c>
      <c r="AO39" s="108" t="str">
        <f>IF($B$2="Original",IF($AI39=0,"-",(VLOOKUP(Y39,'APP 2885'!$B$10:$G$54,4)*$R39)/($X39+$AD39)),IF($AI39=0,"-",(VLOOKUP(AA39,'APP 2885'!$B$10:$G$54,4)*$R39)/($X39+$AD39)))</f>
        <v>-</v>
      </c>
    </row>
    <row r="40" spans="3:41" ht="20.100000000000001" customHeight="1" thickBot="1" x14ac:dyDescent="0.3">
      <c r="C40" s="119" t="s">
        <v>125</v>
      </c>
      <c r="D40" s="55" t="str">
        <f t="shared" si="0"/>
        <v>Energy Savings Kit 2_Zone 3_Two Low Flow Showerheads plus Aerators</v>
      </c>
      <c r="E40" s="3" t="s">
        <v>45</v>
      </c>
      <c r="F40" s="3" t="s">
        <v>24</v>
      </c>
      <c r="G40" s="3" t="s">
        <v>46</v>
      </c>
      <c r="H40" s="3" t="str">
        <f t="shared" si="1"/>
        <v>Two Low Flow Showerheads plus Aerators</v>
      </c>
      <c r="I40" s="4">
        <v>147</v>
      </c>
      <c r="J40" s="4">
        <v>159</v>
      </c>
      <c r="K40" s="4"/>
      <c r="L40" s="4">
        <f t="shared" si="20"/>
        <v>0</v>
      </c>
      <c r="M40" s="131">
        <v>0</v>
      </c>
      <c r="N40" s="70">
        <v>34</v>
      </c>
      <c r="O40" s="70">
        <f>IF(INDEX('Res Measure Mapping'!$R:$R,MATCH($D40,'Res Measure Mapping'!$B:$B,0))="N/A",N40,INDEX('Res Measure Mapping'!$R:$R,MATCH($D40,'Res Measure Mapping'!$B:$B,0)))</f>
        <v>34</v>
      </c>
      <c r="P40" s="70" t="str">
        <f>INDEX('Res Measure Mapping'!$S:$S,MATCH($D40,'Res Measure Mapping'!$B:$B,0))</f>
        <v>N/A</v>
      </c>
      <c r="Q40" s="70">
        <f t="shared" si="24"/>
        <v>34</v>
      </c>
      <c r="R40" s="135">
        <f t="shared" ref="R40:R71" si="26">M40*$R$92</f>
        <v>0</v>
      </c>
      <c r="S40" s="5">
        <v>16</v>
      </c>
      <c r="T40" s="76" t="s">
        <v>125</v>
      </c>
      <c r="U40" s="5">
        <f t="shared" si="23"/>
        <v>16</v>
      </c>
      <c r="V40" s="5">
        <f>IF(B7="Original",PV($F$96,$Y40,-8.6),PV($F$96,$AA40,-8.6))</f>
        <v>71.884665695689918</v>
      </c>
      <c r="W40" s="5">
        <f t="shared" ref="W40:W71" si="27">IF($B$2="Original",IF(ISNUMBER(S40),S40*L40,""),IF(ISNUMBER(U40),U40*L40,""))</f>
        <v>0</v>
      </c>
      <c r="X40" s="6">
        <f t="shared" ref="X40:X71" si="28">W40-L40*(V40)</f>
        <v>0</v>
      </c>
      <c r="Y40" s="4">
        <v>10</v>
      </c>
      <c r="Z40" s="70">
        <f>IF(INDEX('Res Measure Mapping'!$U:$U,MATCH($D40,'Res Measure Mapping'!$B:$B,0))="N/A",Y40,INDEX('Res Measure Mapping'!$U:$U,MATCH($D40,'Res Measure Mapping'!$B:$B,0)))</f>
        <v>10</v>
      </c>
      <c r="AA40" s="4">
        <f t="shared" si="11"/>
        <v>10</v>
      </c>
      <c r="AB40" s="4">
        <f t="shared" si="22"/>
        <v>0</v>
      </c>
      <c r="AC40" s="4">
        <f t="shared" si="22"/>
        <v>0</v>
      </c>
      <c r="AD40" s="7">
        <f t="shared" ref="AD40:AD71" si="29">(R40/$R$92)*$AD$92</f>
        <v>0</v>
      </c>
      <c r="AE40" s="5">
        <v>16</v>
      </c>
      <c r="AF40" s="76">
        <f>ROUND(IF(INDEX('Res Measure Mapping'!$V:$V,MATCH($D40,'Res Measure Mapping'!$B:$B,0))="N/A",AE40,INDEX('Res Measure Mapping'!$V:$V,MATCH($D40,'Res Measure Mapping'!$B:$B,0))),0)</f>
        <v>16</v>
      </c>
      <c r="AG40" s="70" t="str">
        <f>INDEX('Res Measure Mapping'!$S:$S,MATCH($D40,'Res Measure Mapping'!$B:$B,0))</f>
        <v>N/A</v>
      </c>
      <c r="AH40" s="5">
        <f t="shared" si="25"/>
        <v>16</v>
      </c>
      <c r="AI40" s="5">
        <f t="shared" si="17"/>
        <v>0</v>
      </c>
      <c r="AJ40" s="8">
        <f t="shared" si="13"/>
        <v>0</v>
      </c>
      <c r="AK40" s="8">
        <f t="shared" si="14"/>
        <v>0</v>
      </c>
      <c r="AL40" s="81" t="str">
        <f>IF($B$2="Original",IF($AI40=0,"-",(VLOOKUP(Y40,'APP 2885'!$B$10:$G$54,6)*$R40)/($AI40+$AD40)),IF($AI40=0,"-",(VLOOKUP(AA40,'APP 2885'!$B$10:$G$54,6)*$R40)/($AI40+$AD40)))</f>
        <v>-</v>
      </c>
      <c r="AM40" s="9">
        <f t="shared" si="15"/>
        <v>0</v>
      </c>
      <c r="AN40" s="10">
        <f t="shared" si="16"/>
        <v>0</v>
      </c>
      <c r="AO40" s="107" t="str">
        <f>IF($B$2="Original",IF($AI40=0,"-",(VLOOKUP(Y40,'APP 2885'!$B$10:$G$54,4)*$R40)/($X40+$AD40)),IF($AI40=0,"-",(VLOOKUP(AA40,'APP 2885'!$B$10:$G$54,4)*$R40)/($X40+$AD40)))</f>
        <v>-</v>
      </c>
    </row>
    <row r="41" spans="3:41" ht="20.100000000000001" customHeight="1" thickBot="1" x14ac:dyDescent="0.3">
      <c r="C41" s="119">
        <v>2</v>
      </c>
      <c r="D41" s="55" t="str">
        <f t="shared" si="0"/>
        <v>ENERGY STAR® Certified Homes + U.30 Window Glazing_Zone 2_Certified HERS 75</v>
      </c>
      <c r="E41" s="11" t="s">
        <v>88</v>
      </c>
      <c r="F41" s="11" t="s">
        <v>23</v>
      </c>
      <c r="G41" s="11" t="s">
        <v>48</v>
      </c>
      <c r="H41" s="11" t="str">
        <f t="shared" si="1"/>
        <v>Certified HERS 75</v>
      </c>
      <c r="I41" s="12">
        <v>1</v>
      </c>
      <c r="J41" s="12">
        <v>1</v>
      </c>
      <c r="K41" s="12"/>
      <c r="L41" s="12">
        <f t="shared" si="20"/>
        <v>4.3052241941065743</v>
      </c>
      <c r="M41" s="132">
        <v>4.3862168357622881E-4</v>
      </c>
      <c r="N41" s="71">
        <v>168</v>
      </c>
      <c r="O41" s="73">
        <f>IF(INDEX('Res Measure Mapping'!$R:$R,MATCH($D41,'Res Measure Mapping'!$B:$B,0))="N/A",N41,INDEX('Res Measure Mapping'!$R:$R,MATCH($D41,'Res Measure Mapping'!$B:$B,0)))</f>
        <v>51.724608429932317</v>
      </c>
      <c r="P41" s="73" t="str">
        <f>INDEX('Res Measure Mapping'!$S:$S,MATCH($D41,'Res Measure Mapping'!$B:$B,0))</f>
        <v>household</v>
      </c>
      <c r="Q41" s="71">
        <f>O41</f>
        <v>51.724608429932317</v>
      </c>
      <c r="R41" s="136">
        <f t="shared" si="26"/>
        <v>222.68603564323348</v>
      </c>
      <c r="S41" s="13">
        <v>1142</v>
      </c>
      <c r="T41" s="77">
        <f>IF(INDEX('Res Measure Mapping'!$T:$T,MATCH($D41,'Res Measure Mapping'!$B:$B,0))="N/A",S41,INDEX('Res Measure Mapping'!$T:$T,MATCH($D41,'Res Measure Mapping'!$B:$B,0)))</f>
        <v>1765.16</v>
      </c>
      <c r="U41" s="13">
        <f t="shared" si="23"/>
        <v>1142</v>
      </c>
      <c r="V41" s="13">
        <f t="shared" ref="V41:V72" si="30">IF($B$2="Original",PV($F$96,$Y41,(-0.05*0.95*$N41)),PV($F$96,$AA41,(-0.05*0.95*$Q41)))</f>
        <v>45.759277584118216</v>
      </c>
      <c r="W41" s="13">
        <f t="shared" si="27"/>
        <v>4916.5660296697079</v>
      </c>
      <c r="X41" s="14">
        <f t="shared" si="28"/>
        <v>4719.5620807097239</v>
      </c>
      <c r="Y41" s="12">
        <v>30</v>
      </c>
      <c r="Z41" s="73">
        <f>IF(INDEX('Res Measure Mapping'!$U:$U,MATCH($D41,'Res Measure Mapping'!$B:$B,0))="N/A",Y41,INDEX('Res Measure Mapping'!$U:$U,MATCH($D41,'Res Measure Mapping'!$B:$B,0)))</f>
        <v>30</v>
      </c>
      <c r="AA41" s="12">
        <f t="shared" si="11"/>
        <v>30</v>
      </c>
      <c r="AB41" s="12">
        <f t="shared" si="22"/>
        <v>4147.4515570523026</v>
      </c>
      <c r="AC41" s="12">
        <f t="shared" si="22"/>
        <v>4147.4515570523026</v>
      </c>
      <c r="AD41" s="15">
        <f t="shared" si="29"/>
        <v>666.56021388028762</v>
      </c>
      <c r="AE41" s="13">
        <v>2000</v>
      </c>
      <c r="AF41" s="77">
        <f>ROUND(IF(INDEX('Res Measure Mapping'!$V:$V,MATCH($D41,'Res Measure Mapping'!$B:$B,0))="N/A",AE41,INDEX('Res Measure Mapping'!$V:$V,MATCH($D41,'Res Measure Mapping'!$B:$B,0))),0)</f>
        <v>812</v>
      </c>
      <c r="AG41" s="73" t="str">
        <f>INDEX('Res Measure Mapping'!$S:$S,MATCH($D41,'Res Measure Mapping'!$B:$B,0))</f>
        <v>household</v>
      </c>
      <c r="AH41" s="13">
        <v>600</v>
      </c>
      <c r="AI41" s="13">
        <f t="shared" si="17"/>
        <v>2583.1345164639447</v>
      </c>
      <c r="AJ41" s="16">
        <f t="shared" ref="AJ41:AJ72" si="31">IF(ISERROR(AI41/AC41),0,AI41/AC41)</f>
        <v>0.62282451788293891</v>
      </c>
      <c r="AK41" s="16">
        <f t="shared" ref="AK41:AK72" si="32">IF(ISERROR((AD41+AI41)/AC41),0,(AD41+AI41)/AC41)</f>
        <v>0.78354012955702157</v>
      </c>
      <c r="AL41" s="82">
        <f>IF($B$2="Original",IF($AI41=0,"-",(VLOOKUP(Y41,'APP 2885'!$B$10:$G$54,6)*$R41)/($AI41+$AD41)),IF($AI41=0,"-",(VLOOKUP(AA41,'APP 2885'!$B$10:$G$54,6)*$R41)/($AI41+$AD41)))</f>
        <v>2.3886193257316282</v>
      </c>
      <c r="AM41" s="17">
        <f t="shared" ref="AM41:AM72" si="33">IF(ISERROR(RU41/AB41),0,X41/AB41)</f>
        <v>1.1379426657038605</v>
      </c>
      <c r="AN41" s="18">
        <f t="shared" ref="AN41:AN72" si="34">IF(ISERROR(X41/AB41),0,(X41+AD41)/AB41)</f>
        <v>1.2986582773779431</v>
      </c>
      <c r="AO41" s="108">
        <f>IF($B$2="Original",IF($AI41=0,"-",(VLOOKUP(Y41,'APP 2885'!$B$10:$G$54,4)*$R41)/($X41+$AD41)),IF($AI41=0,"-",(VLOOKUP(AA41,'APP 2885'!$B$10:$G$54,4)*$R41)/($X41+$AD41)))</f>
        <v>1.3101487676993253</v>
      </c>
    </row>
    <row r="42" spans="3:41" ht="20.100000000000001" customHeight="1" thickBot="1" x14ac:dyDescent="0.3">
      <c r="C42" s="119">
        <v>2</v>
      </c>
      <c r="D42" s="55" t="str">
        <f t="shared" si="0"/>
        <v>ENERGY STAR Certified Homes + U.30 Window Glazing_Zone 3_Certified HERS 75</v>
      </c>
      <c r="E42" s="3" t="s">
        <v>47</v>
      </c>
      <c r="F42" s="3" t="s">
        <v>24</v>
      </c>
      <c r="G42" s="3" t="s">
        <v>48</v>
      </c>
      <c r="H42" s="3" t="str">
        <f t="shared" si="1"/>
        <v>Certified HERS 75</v>
      </c>
      <c r="I42" s="4">
        <v>33</v>
      </c>
      <c r="J42" s="4">
        <v>33</v>
      </c>
      <c r="K42" s="4"/>
      <c r="L42" s="4">
        <f t="shared" si="20"/>
        <v>184.84679354700305</v>
      </c>
      <c r="M42" s="131">
        <v>1.766235529400707E-2</v>
      </c>
      <c r="N42" s="70">
        <v>205</v>
      </c>
      <c r="O42" s="70">
        <f>IF(INDEX('Res Measure Mapping'!$R:$R,MATCH($D42,'Res Measure Mapping'!$B:$B,0))="N/A",N42,INDEX('Res Measure Mapping'!$R:$R,MATCH($D42,'Res Measure Mapping'!$B:$B,0)))</f>
        <v>48.510927882072011</v>
      </c>
      <c r="P42" s="70" t="str">
        <f>INDEX('Res Measure Mapping'!$S:$S,MATCH($D42,'Res Measure Mapping'!$B:$B,0))</f>
        <v>household</v>
      </c>
      <c r="Q42" s="70">
        <f t="shared" ref="Q42:Q43" si="35">O42</f>
        <v>48.510927882072011</v>
      </c>
      <c r="R42" s="135">
        <f t="shared" si="26"/>
        <v>8967.0894709909189</v>
      </c>
      <c r="S42" s="5">
        <v>1142</v>
      </c>
      <c r="T42" s="76">
        <f>IF(INDEX('Res Measure Mapping'!$T:$T,MATCH($D42,'Res Measure Mapping'!$B:$B,0))="N/A",S42,INDEX('Res Measure Mapping'!$T:$T,MATCH($D42,'Res Measure Mapping'!$B:$B,0)))</f>
        <v>2154.5300000000002</v>
      </c>
      <c r="U42" s="5">
        <f t="shared" si="23"/>
        <v>1142</v>
      </c>
      <c r="V42" s="5">
        <f t="shared" si="30"/>
        <v>42.916226573777038</v>
      </c>
      <c r="W42" s="5">
        <f t="shared" si="27"/>
        <v>211095.03823067748</v>
      </c>
      <c r="X42" s="6">
        <f t="shared" si="28"/>
        <v>203162.1113573781</v>
      </c>
      <c r="Y42" s="4">
        <v>30</v>
      </c>
      <c r="Z42" s="70">
        <f>IF(INDEX('Res Measure Mapping'!$U:$U,MATCH($D42,'Res Measure Mapping'!$B:$B,0))="N/A",Y42,INDEX('Res Measure Mapping'!$U:$U,MATCH($D42,'Res Measure Mapping'!$B:$B,0)))</f>
        <v>30</v>
      </c>
      <c r="AA42" s="4">
        <f t="shared" si="11"/>
        <v>30</v>
      </c>
      <c r="AB42" s="4">
        <f t="shared" si="22"/>
        <v>167008.98680630254</v>
      </c>
      <c r="AC42" s="4">
        <f t="shared" si="22"/>
        <v>167008.98680630254</v>
      </c>
      <c r="AD42" s="7">
        <f t="shared" si="29"/>
        <v>26840.951469643725</v>
      </c>
      <c r="AE42" s="5">
        <v>2000</v>
      </c>
      <c r="AF42" s="76">
        <f>ROUND(IF(INDEX('Res Measure Mapping'!$V:$V,MATCH($D42,'Res Measure Mapping'!$B:$B,0))="N/A",AE42,INDEX('Res Measure Mapping'!$V:$V,MATCH($D42,'Res Measure Mapping'!$B:$B,0))),0)</f>
        <v>1099</v>
      </c>
      <c r="AG42" s="70" t="str">
        <f>INDEX('Res Measure Mapping'!$S:$S,MATCH($D42,'Res Measure Mapping'!$B:$B,0))</f>
        <v>household</v>
      </c>
      <c r="AH42" s="5">
        <v>600</v>
      </c>
      <c r="AI42" s="5">
        <f t="shared" ref="AI42:AI73" si="36">IF($B$2="Original",IF(ISNUMBER(AE42),AE42*L42,""),IF(ISNUMBER(AH42),AH42*L42,""))</f>
        <v>110908.07612820182</v>
      </c>
      <c r="AJ42" s="8">
        <f t="shared" si="31"/>
        <v>0.66408447981804297</v>
      </c>
      <c r="AK42" s="8">
        <f t="shared" si="32"/>
        <v>0.82480009149212563</v>
      </c>
      <c r="AL42" s="81">
        <f>IF($B$2="Original",IF($AI42=0,"-",(VLOOKUP(Y42,'APP 2885'!$B$10:$G$54,6)*$R42)/($AI42+$AD42)),IF($AI42=0,"-",(VLOOKUP(AA42,'APP 2885'!$B$10:$G$54,6)*$R42)/($AI42+$AD42)))</f>
        <v>2.2691305629711285</v>
      </c>
      <c r="AM42" s="9">
        <f t="shared" si="33"/>
        <v>1.2164741265870085</v>
      </c>
      <c r="AN42" s="10">
        <f t="shared" si="34"/>
        <v>1.3771897382610911</v>
      </c>
      <c r="AO42" s="107">
        <f>IF($B$2="Original",IF($AI42=0,"-",(VLOOKUP(Y42,'APP 2885'!$B$10:$G$54,4)*$R42)/($X42+$AD42)),IF($AI42=0,"-",(VLOOKUP(AA42,'APP 2885'!$B$10:$G$54,4)*$R42)/($X42+$AD42)))</f>
        <v>1.23544018264147</v>
      </c>
    </row>
    <row r="43" spans="3:41" ht="20.100000000000001" customHeight="1" thickBot="1" x14ac:dyDescent="0.3">
      <c r="C43" s="119">
        <v>2</v>
      </c>
      <c r="D43" s="55" t="str">
        <f t="shared" si="0"/>
        <v>ENERGY STAR Certified Homes + U.30 Window Glazing_Zone 3_Certified HERS 75</v>
      </c>
      <c r="E43" s="11" t="s">
        <v>47</v>
      </c>
      <c r="F43" s="11" t="s">
        <v>24</v>
      </c>
      <c r="G43" s="11" t="s">
        <v>48</v>
      </c>
      <c r="H43" s="11" t="str">
        <f t="shared" si="1"/>
        <v>Certified HERS 75</v>
      </c>
      <c r="I43" s="12">
        <v>1</v>
      </c>
      <c r="J43" s="12">
        <v>1</v>
      </c>
      <c r="K43" s="12"/>
      <c r="L43" s="12">
        <f t="shared" si="20"/>
        <v>5.6560659666267012</v>
      </c>
      <c r="M43" s="132">
        <v>5.4044457440642472E-4</v>
      </c>
      <c r="N43" s="71">
        <v>207</v>
      </c>
      <c r="O43" s="73">
        <f>IF(INDEX('Res Measure Mapping'!$R:$R,MATCH($D43,'Res Measure Mapping'!$B:$B,0))="N/A",N43,INDEX('Res Measure Mapping'!$R:$R,MATCH($D43,'Res Measure Mapping'!$B:$B,0)))</f>
        <v>48.510927882072011</v>
      </c>
      <c r="P43" s="73" t="str">
        <f>INDEX('Res Measure Mapping'!$S:$S,MATCH($D43,'Res Measure Mapping'!$B:$B,0))</f>
        <v>household</v>
      </c>
      <c r="Q43" s="71">
        <f t="shared" si="35"/>
        <v>48.510927882072011</v>
      </c>
      <c r="R43" s="136">
        <f t="shared" si="26"/>
        <v>274.3810082032698</v>
      </c>
      <c r="S43" s="13">
        <v>1142</v>
      </c>
      <c r="T43" s="77">
        <f>IF(INDEX('Res Measure Mapping'!$T:$T,MATCH($D43,'Res Measure Mapping'!$B:$B,0))="N/A",S43,INDEX('Res Measure Mapping'!$T:$T,MATCH($D43,'Res Measure Mapping'!$B:$B,0)))</f>
        <v>2154.5300000000002</v>
      </c>
      <c r="U43" s="13">
        <f t="shared" si="23"/>
        <v>1142</v>
      </c>
      <c r="V43" s="13">
        <f t="shared" si="30"/>
        <v>42.916226573777038</v>
      </c>
      <c r="W43" s="13">
        <f t="shared" si="27"/>
        <v>6459.227333887693</v>
      </c>
      <c r="X43" s="14">
        <f t="shared" si="28"/>
        <v>6216.4903253477123</v>
      </c>
      <c r="Y43" s="12">
        <v>30</v>
      </c>
      <c r="Z43" s="73">
        <f>IF(INDEX('Res Measure Mapping'!$U:$U,MATCH($D43,'Res Measure Mapping'!$B:$B,0))="N/A",Y43,INDEX('Res Measure Mapping'!$U:$U,MATCH($D43,'Res Measure Mapping'!$B:$B,0)))</f>
        <v>30</v>
      </c>
      <c r="AA43" s="12">
        <f t="shared" si="11"/>
        <v>30</v>
      </c>
      <c r="AB43" s="12">
        <f t="shared" si="22"/>
        <v>5110.2528113680146</v>
      </c>
      <c r="AC43" s="12">
        <f t="shared" si="22"/>
        <v>5110.2528113680146</v>
      </c>
      <c r="AD43" s="15">
        <f t="shared" si="29"/>
        <v>821.29740638821147</v>
      </c>
      <c r="AE43" s="13">
        <v>2000</v>
      </c>
      <c r="AF43" s="77">
        <f>ROUND(IF(INDEX('Res Measure Mapping'!$V:$V,MATCH($D43,'Res Measure Mapping'!$B:$B,0))="N/A",AE43,INDEX('Res Measure Mapping'!$V:$V,MATCH($D43,'Res Measure Mapping'!$B:$B,0))),0)</f>
        <v>1099</v>
      </c>
      <c r="AG43" s="73" t="str">
        <f>INDEX('Res Measure Mapping'!$S:$S,MATCH($D43,'Res Measure Mapping'!$B:$B,0))</f>
        <v>household</v>
      </c>
      <c r="AH43" s="13">
        <v>600</v>
      </c>
      <c r="AI43" s="13">
        <f t="shared" si="36"/>
        <v>3393.6395799760207</v>
      </c>
      <c r="AJ43" s="16">
        <f t="shared" si="31"/>
        <v>0.66408447981804319</v>
      </c>
      <c r="AK43" s="16">
        <f t="shared" si="32"/>
        <v>0.82480009149212596</v>
      </c>
      <c r="AL43" s="82">
        <f>IF($B$2="Original",IF($AI43=0,"-",(VLOOKUP(Y43,'APP 2885'!$B$10:$G$54,6)*$R43)/($AI43+$AD43)),IF($AI43=0,"-",(VLOOKUP(AA43,'APP 2885'!$B$10:$G$54,6)*$R43)/($AI43+$AD43)))</f>
        <v>2.2691305629711276</v>
      </c>
      <c r="AM43" s="17">
        <f t="shared" si="33"/>
        <v>1.2164741265870089</v>
      </c>
      <c r="AN43" s="18">
        <f t="shared" si="34"/>
        <v>1.3771897382610916</v>
      </c>
      <c r="AO43" s="108">
        <f>IF($B$2="Original",IF($AI43=0,"-",(VLOOKUP(Y43,'APP 2885'!$B$10:$G$54,4)*$R43)/($X43+$AD43)),IF($AI43=0,"-",(VLOOKUP(AA43,'APP 2885'!$B$10:$G$54,4)*$R43)/($X43+$AD43)))</f>
        <v>1.2354401826414698</v>
      </c>
    </row>
    <row r="44" spans="3:41" ht="20.100000000000001" customHeight="1" thickBot="1" x14ac:dyDescent="0.3">
      <c r="C44" s="119">
        <v>6</v>
      </c>
      <c r="D44" s="55" t="str">
        <f t="shared" si="0"/>
        <v>Floor Insulation_Zone 1_Post R 30+, or to fill cavity</v>
      </c>
      <c r="E44" s="3" t="s">
        <v>49</v>
      </c>
      <c r="F44" s="3" t="s">
        <v>21</v>
      </c>
      <c r="G44" s="3" t="s">
        <v>50</v>
      </c>
      <c r="H44" s="3" t="str">
        <f t="shared" si="1"/>
        <v>Post R 30+, or to fill cavity</v>
      </c>
      <c r="I44" s="4">
        <v>298</v>
      </c>
      <c r="J44" s="4">
        <v>305</v>
      </c>
      <c r="K44" s="4">
        <v>355704</v>
      </c>
      <c r="L44" s="4">
        <f t="shared" si="20"/>
        <v>765357.27220547455</v>
      </c>
      <c r="M44" s="131">
        <v>5.2006495778266291E-2</v>
      </c>
      <c r="N44" s="70">
        <v>5.6000000000000001E-2</v>
      </c>
      <c r="O44" s="70">
        <f>IF(INDEX('Res Measure Mapping'!$R:$R,MATCH($D44,'Res Measure Mapping'!$B:$B,0))="N/A",N44,INDEX('Res Measure Mapping'!$R:$R,MATCH($D44,'Res Measure Mapping'!$B:$B,0)))</f>
        <v>3.44981864457393E-2</v>
      </c>
      <c r="P44" s="70" t="str">
        <f>INDEX('Res Measure Mapping'!$S:$S,MATCH($D44,'Res Measure Mapping'!$B:$B,0))</f>
        <v>sqft floor</v>
      </c>
      <c r="Q44" s="70">
        <f>O44</f>
        <v>3.44981864457393E-2</v>
      </c>
      <c r="R44" s="135">
        <f t="shared" si="26"/>
        <v>26403.437874146905</v>
      </c>
      <c r="S44" s="5">
        <v>1.08</v>
      </c>
      <c r="T44" s="76">
        <f>IF(INDEX('Res Measure Mapping'!$T:$T,MATCH($D44,'Res Measure Mapping'!$B:$B,0))="N/A",S44,INDEX('Res Measure Mapping'!$T:$T,MATCH($D44,'Res Measure Mapping'!$B:$B,0)))</f>
        <v>1.5599999999999998</v>
      </c>
      <c r="U44" s="5">
        <f>S44</f>
        <v>1.08</v>
      </c>
      <c r="V44" s="5">
        <f t="shared" si="30"/>
        <v>3.7490994738167915E-2</v>
      </c>
      <c r="W44" s="5">
        <f t="shared" si="27"/>
        <v>826585.8539819126</v>
      </c>
      <c r="X44" s="6">
        <f t="shared" si="28"/>
        <v>797891.84851683863</v>
      </c>
      <c r="Y44" s="4">
        <v>45</v>
      </c>
      <c r="Z44" s="70">
        <f>IF(INDEX('Res Measure Mapping'!$U:$U,MATCH($D44,'Res Measure Mapping'!$B:$B,0))="N/A",Y44,INDEX('Res Measure Mapping'!$U:$U,MATCH($D44,'Res Measure Mapping'!$B:$B,0)))</f>
        <v>45</v>
      </c>
      <c r="AA44" s="4">
        <f t="shared" si="11"/>
        <v>45</v>
      </c>
      <c r="AB44" s="4">
        <f t="shared" si="22"/>
        <v>604084.32558050519</v>
      </c>
      <c r="AC44" s="4">
        <f t="shared" si="22"/>
        <v>604084.32558050519</v>
      </c>
      <c r="AD44" s="7">
        <f t="shared" si="29"/>
        <v>79032.71143935794</v>
      </c>
      <c r="AE44" s="5">
        <v>0.75</v>
      </c>
      <c r="AF44" s="76">
        <f>ROUND(IF(INDEX('Res Measure Mapping'!$V:$V,MATCH($D44,'Res Measure Mapping'!$B:$B,0))="N/A",AE44,INDEX('Res Measure Mapping'!$V:$V,MATCH($D44,'Res Measure Mapping'!$B:$B,0))),0)</f>
        <v>1</v>
      </c>
      <c r="AG44" s="70" t="str">
        <f>INDEX('Res Measure Mapping'!$S:$S,MATCH($D44,'Res Measure Mapping'!$B:$B,0))</f>
        <v>sqft floor</v>
      </c>
      <c r="AH44" s="5">
        <v>1.25</v>
      </c>
      <c r="AI44" s="5">
        <f t="shared" si="36"/>
        <v>956696.59025684325</v>
      </c>
      <c r="AJ44" s="8">
        <f t="shared" si="31"/>
        <v>1.5837136468281796</v>
      </c>
      <c r="AK44" s="8">
        <f t="shared" si="32"/>
        <v>1.7145442413207781</v>
      </c>
      <c r="AL44" s="81">
        <f>IF($B$2="Original",IF($AI44=0,"-",(VLOOKUP(Y44,'APP 2885'!$B$10:$G$54,6)*$R44)/($AI44+$AD44)),IF($AI44=0,"-",(VLOOKUP(AA44,'APP 2885'!$B$10:$G$54,6)*$R44)/($AI44+$AD44)))</f>
        <v>1.5618460226979423</v>
      </c>
      <c r="AM44" s="9">
        <f t="shared" si="33"/>
        <v>1.3208285908595472</v>
      </c>
      <c r="AN44" s="10">
        <f t="shared" si="34"/>
        <v>1.4516591853521459</v>
      </c>
      <c r="AO44" s="107">
        <f>IF($B$2="Original",IF($AI44=0,"-",(VLOOKUP(Y44,'APP 2885'!$B$10:$G$54,4)*$R44)/($X44+$AD44)),IF($AI44=0,"-",(VLOOKUP(AA44,'APP 2885'!$B$10:$G$54,4)*$R44)/($X44+$AD44)))</f>
        <v>1.6769864761816855</v>
      </c>
    </row>
    <row r="45" spans="3:41" ht="20.100000000000001" customHeight="1" thickBot="1" x14ac:dyDescent="0.3">
      <c r="C45" s="119">
        <v>6</v>
      </c>
      <c r="D45" s="55" t="str">
        <f t="shared" si="0"/>
        <v>Floor Insulation_Zone 2_Post R 30+, or to fill cavity</v>
      </c>
      <c r="E45" s="11" t="s">
        <v>49</v>
      </c>
      <c r="F45" s="11" t="s">
        <v>23</v>
      </c>
      <c r="G45" s="11" t="s">
        <v>50</v>
      </c>
      <c r="H45" s="11" t="str">
        <f t="shared" si="1"/>
        <v>Post R 30+, or to fill cavity</v>
      </c>
      <c r="I45" s="12">
        <v>51</v>
      </c>
      <c r="J45" s="12">
        <v>52</v>
      </c>
      <c r="K45" s="12">
        <v>57342</v>
      </c>
      <c r="L45" s="12">
        <f t="shared" si="20"/>
        <v>94704.30660885082</v>
      </c>
      <c r="M45" s="132">
        <v>8.0843929005947491E-3</v>
      </c>
      <c r="N45" s="71">
        <v>5.3999999999999999E-2</v>
      </c>
      <c r="O45" s="73">
        <f>IF(INDEX('Res Measure Mapping'!$R:$R,MATCH($D45,'Res Measure Mapping'!$B:$B,0))="N/A",N45,INDEX('Res Measure Mapping'!$R:$R,MATCH($D45,'Res Measure Mapping'!$B:$B,0)))</f>
        <v>4.333916799179504E-2</v>
      </c>
      <c r="P45" s="73" t="str">
        <f>INDEX('Res Measure Mapping'!$S:$S,MATCH($D45,'Res Measure Mapping'!$B:$B,0))</f>
        <v>sqft floor</v>
      </c>
      <c r="Q45" s="71">
        <f>O45</f>
        <v>4.333916799179504E-2</v>
      </c>
      <c r="R45" s="136">
        <f t="shared" si="26"/>
        <v>4104.4058536674511</v>
      </c>
      <c r="S45" s="13">
        <v>1.08</v>
      </c>
      <c r="T45" s="77">
        <f>IF(INDEX('Res Measure Mapping'!$T:$T,MATCH($D45,'Res Measure Mapping'!$B:$B,0))="N/A",S45,INDEX('Res Measure Mapping'!$T:$T,MATCH($D45,'Res Measure Mapping'!$B:$B,0)))</f>
        <v>1.5599999999999998</v>
      </c>
      <c r="U45" s="13">
        <f t="shared" ref="U45:U46" si="37">S45</f>
        <v>1.08</v>
      </c>
      <c r="V45" s="13">
        <f t="shared" si="30"/>
        <v>4.7098954656430582E-2</v>
      </c>
      <c r="W45" s="13">
        <f t="shared" si="27"/>
        <v>102280.65113755889</v>
      </c>
      <c r="X45" s="14">
        <f t="shared" si="28"/>
        <v>97820.177294819921</v>
      </c>
      <c r="Y45" s="12">
        <v>45</v>
      </c>
      <c r="Z45" s="73">
        <f>IF(INDEX('Res Measure Mapping'!$U:$U,MATCH($D45,'Res Measure Mapping'!$B:$B,0))="N/A",Y45,INDEX('Res Measure Mapping'!$U:$U,MATCH($D45,'Res Measure Mapping'!$B:$B,0)))</f>
        <v>45</v>
      </c>
      <c r="AA45" s="12">
        <f t="shared" si="11"/>
        <v>45</v>
      </c>
      <c r="AB45" s="12">
        <f t="shared" si="22"/>
        <v>93904.712478715039</v>
      </c>
      <c r="AC45" s="12">
        <f t="shared" si="22"/>
        <v>93904.712478715039</v>
      </c>
      <c r="AD45" s="15">
        <f t="shared" si="29"/>
        <v>12285.609359246822</v>
      </c>
      <c r="AE45" s="13">
        <v>0.75</v>
      </c>
      <c r="AF45" s="77">
        <f>ROUND(IF(INDEX('Res Measure Mapping'!$V:$V,MATCH($D45,'Res Measure Mapping'!$B:$B,0))="N/A",AE45,INDEX('Res Measure Mapping'!$V:$V,MATCH($D45,'Res Measure Mapping'!$B:$B,0))),0)</f>
        <v>1</v>
      </c>
      <c r="AG45" s="73" t="str">
        <f>INDEX('Res Measure Mapping'!$S:$S,MATCH($D45,'Res Measure Mapping'!$B:$B,0))</f>
        <v>sqft floor</v>
      </c>
      <c r="AH45" s="13">
        <v>1.25</v>
      </c>
      <c r="AI45" s="13">
        <f t="shared" si="36"/>
        <v>118380.38326106353</v>
      </c>
      <c r="AJ45" s="16">
        <f t="shared" si="31"/>
        <v>1.2606436901438389</v>
      </c>
      <c r="AK45" s="16">
        <f t="shared" si="32"/>
        <v>1.3914742846364374</v>
      </c>
      <c r="AL45" s="82">
        <f>IF($B$2="Original",IF($AI45=0,"-",(VLOOKUP(Y45,'APP 2885'!$B$10:$G$54,6)*$R45)/($AI45+$AD45)),IF($AI45=0,"-",(VLOOKUP(AA45,'APP 2885'!$B$10:$G$54,6)*$R45)/($AI45+$AD45)))</f>
        <v>1.9244725781951364</v>
      </c>
      <c r="AM45" s="17">
        <f t="shared" si="33"/>
        <v>1.0416961482842768</v>
      </c>
      <c r="AN45" s="18">
        <f t="shared" si="34"/>
        <v>1.1725267427768753</v>
      </c>
      <c r="AO45" s="108">
        <f>IF($B$2="Original",IF($AI45=0,"-",(VLOOKUP(Y45,'APP 2885'!$B$10:$G$54,4)*$R45)/($X45+$AD45)),IF($AI45=0,"-",(VLOOKUP(AA45,'APP 2885'!$B$10:$G$54,4)*$R45)/($X45+$AD45)))</f>
        <v>2.0762109153221457</v>
      </c>
    </row>
    <row r="46" spans="3:41" ht="20.100000000000001" customHeight="1" thickBot="1" x14ac:dyDescent="0.3">
      <c r="C46" s="119">
        <v>6</v>
      </c>
      <c r="D46" s="55" t="str">
        <f t="shared" si="0"/>
        <v>Floor Insulation_Zone 3_Post R 30+, or to fill cavity</v>
      </c>
      <c r="E46" s="3" t="s">
        <v>49</v>
      </c>
      <c r="F46" s="3" t="s">
        <v>24</v>
      </c>
      <c r="G46" s="3" t="s">
        <v>50</v>
      </c>
      <c r="H46" s="3" t="str">
        <f t="shared" si="1"/>
        <v>Post R 30+, or to fill cavity</v>
      </c>
      <c r="I46" s="4">
        <v>39</v>
      </c>
      <c r="J46" s="4">
        <v>39</v>
      </c>
      <c r="K46" s="4">
        <v>51865</v>
      </c>
      <c r="L46" s="4">
        <f t="shared" si="20"/>
        <v>93590.017036770558</v>
      </c>
      <c r="M46" s="131">
        <v>7.9892720446558645E-3</v>
      </c>
      <c r="N46" s="70">
        <v>5.8999999999999997E-2</v>
      </c>
      <c r="O46" s="70">
        <f>IF(INDEX('Res Measure Mapping'!$R:$R,MATCH($D46,'Res Measure Mapping'!$B:$B,0))="N/A",N46,INDEX('Res Measure Mapping'!$R:$R,MATCH($D46,'Res Measure Mapping'!$B:$B,0)))</f>
        <v>4.333916799179504E-2</v>
      </c>
      <c r="P46" s="70" t="str">
        <f>INDEX('Res Measure Mapping'!$S:$S,MATCH($D46,'Res Measure Mapping'!$B:$B,0))</f>
        <v>sqft floor</v>
      </c>
      <c r="Q46" s="70">
        <f>O46</f>
        <v>4.333916799179504E-2</v>
      </c>
      <c r="R46" s="135">
        <f t="shared" si="26"/>
        <v>4056.1134707115593</v>
      </c>
      <c r="S46" s="5">
        <v>1.08</v>
      </c>
      <c r="T46" s="76">
        <f>IF(INDEX('Res Measure Mapping'!$T:$T,MATCH($D46,'Res Measure Mapping'!$B:$B,0))="N/A",S46,INDEX('Res Measure Mapping'!$T:$T,MATCH($D46,'Res Measure Mapping'!$B:$B,0)))</f>
        <v>1.5599999999999998</v>
      </c>
      <c r="U46" s="5">
        <f t="shared" si="37"/>
        <v>1.08</v>
      </c>
      <c r="V46" s="5">
        <f t="shared" si="30"/>
        <v>4.7098954656430582E-2</v>
      </c>
      <c r="W46" s="5">
        <f t="shared" si="27"/>
        <v>101077.2183997122</v>
      </c>
      <c r="X46" s="6">
        <f t="shared" si="28"/>
        <v>96669.226431002782</v>
      </c>
      <c r="Y46" s="4">
        <v>45</v>
      </c>
      <c r="Z46" s="70">
        <f>IF(INDEX('Res Measure Mapping'!$U:$U,MATCH($D46,'Res Measure Mapping'!$B:$B,0))="N/A",Y46,INDEX('Res Measure Mapping'!$U:$U,MATCH($D46,'Res Measure Mapping'!$B:$B,0)))</f>
        <v>45</v>
      </c>
      <c r="AA46" s="4">
        <f t="shared" si="11"/>
        <v>45</v>
      </c>
      <c r="AB46" s="4">
        <f t="shared" si="22"/>
        <v>92799.830920198365</v>
      </c>
      <c r="AC46" s="4">
        <f t="shared" si="22"/>
        <v>92799.830920198365</v>
      </c>
      <c r="AD46" s="7">
        <f t="shared" si="29"/>
        <v>12141.057048102177</v>
      </c>
      <c r="AE46" s="5">
        <v>0.75</v>
      </c>
      <c r="AF46" s="76">
        <f>ROUND(IF(INDEX('Res Measure Mapping'!$V:$V,MATCH($D46,'Res Measure Mapping'!$B:$B,0))="N/A",AE46,INDEX('Res Measure Mapping'!$V:$V,MATCH($D46,'Res Measure Mapping'!$B:$B,0))),0)</f>
        <v>1</v>
      </c>
      <c r="AG46" s="70" t="str">
        <f>INDEX('Res Measure Mapping'!$S:$S,MATCH($D46,'Res Measure Mapping'!$B:$B,0))</f>
        <v>sqft floor</v>
      </c>
      <c r="AH46" s="5">
        <v>1.25</v>
      </c>
      <c r="AI46" s="5">
        <f t="shared" si="36"/>
        <v>116987.5212959632</v>
      </c>
      <c r="AJ46" s="8">
        <f t="shared" si="31"/>
        <v>1.2606436901438391</v>
      </c>
      <c r="AK46" s="8">
        <f t="shared" si="32"/>
        <v>1.3914742846364376</v>
      </c>
      <c r="AL46" s="81">
        <f>IF($B$2="Original",IF($AI46=0,"-",(VLOOKUP(Y46,'APP 2885'!$B$10:$G$54,6)*$R46)/($AI46+$AD46)),IF($AI46=0,"-",(VLOOKUP(AA46,'APP 2885'!$B$10:$G$54,6)*$R46)/($AI46+$AD46)))</f>
        <v>1.9244725781951366</v>
      </c>
      <c r="AM46" s="9">
        <f t="shared" si="33"/>
        <v>1.0416961482842768</v>
      </c>
      <c r="AN46" s="10">
        <f t="shared" si="34"/>
        <v>1.1725267427768753</v>
      </c>
      <c r="AO46" s="107">
        <f>IF($B$2="Original",IF($AI46=0,"-",(VLOOKUP(Y46,'APP 2885'!$B$10:$G$54,4)*$R46)/($X46+$AD46)),IF($AI46=0,"-",(VLOOKUP(AA46,'APP 2885'!$B$10:$G$54,4)*$R46)/($X46+$AD46)))</f>
        <v>2.0762109153221462</v>
      </c>
    </row>
    <row r="47" spans="3:41" ht="31.5" customHeight="1" thickBot="1" x14ac:dyDescent="0.3">
      <c r="C47" s="119">
        <v>13</v>
      </c>
      <c r="D47" s="55" t="str">
        <f t="shared" si="0"/>
        <v>High-Efficiency Combination Domestic Hot Water &amp; Hydronic Space Heating System_Zone 1_95+% (AFUE) Hydronic Space Heating &amp; DHW</v>
      </c>
      <c r="E47" s="11" t="s">
        <v>87</v>
      </c>
      <c r="F47" s="11" t="s">
        <v>21</v>
      </c>
      <c r="G47" s="11" t="s">
        <v>89</v>
      </c>
      <c r="H47" s="11" t="str">
        <f t="shared" si="1"/>
        <v>95+% (AFUE) Hydronic Space Heating &amp; DHW</v>
      </c>
      <c r="I47" s="12">
        <v>43</v>
      </c>
      <c r="J47" s="12">
        <v>43</v>
      </c>
      <c r="K47" s="12"/>
      <c r="L47" s="12">
        <f t="shared" si="20"/>
        <v>13.884492598571592</v>
      </c>
      <c r="M47" s="132">
        <v>4.0740422813296696E-3</v>
      </c>
      <c r="N47" s="71">
        <v>159</v>
      </c>
      <c r="O47" s="73">
        <f>IF(INDEX('Res Measure Mapping'!$R:$R,MATCH($D47,'Res Measure Mapping'!$B:$B,0))="N/A",N47,INDEX('Res Measure Mapping'!$R:$R,MATCH($D47,'Res Measure Mapping'!$B:$B,0)))</f>
        <v>148.96985837512395</v>
      </c>
      <c r="P47" s="73" t="str">
        <f>INDEX('Res Measure Mapping'!$S:$S,MATCH($D47,'Res Measure Mapping'!$B:$B,0))</f>
        <v>household</v>
      </c>
      <c r="Q47" s="71">
        <f>O47</f>
        <v>148.96985837512395</v>
      </c>
      <c r="R47" s="136">
        <f t="shared" si="26"/>
        <v>2068.3708960196668</v>
      </c>
      <c r="S47" s="13">
        <v>2500</v>
      </c>
      <c r="T47" s="77">
        <f>IF(INDEX('Res Measure Mapping'!$T:$T,MATCH($D47,'Res Measure Mapping'!$B:$B,0))="N/A",S47,INDEX('Res Measure Mapping'!$T:$T,MATCH($D47,'Res Measure Mapping'!$B:$B,0)))</f>
        <v>5190.57</v>
      </c>
      <c r="U47" s="13">
        <f t="shared" si="19"/>
        <v>5190.57</v>
      </c>
      <c r="V47" s="13">
        <f t="shared" si="30"/>
        <v>104.99042309094028</v>
      </c>
      <c r="W47" s="13">
        <f t="shared" si="27"/>
        <v>72068.430747367747</v>
      </c>
      <c r="X47" s="14">
        <f t="shared" si="28"/>
        <v>70610.691995040688</v>
      </c>
      <c r="Y47" s="12">
        <v>21</v>
      </c>
      <c r="Z47" s="73">
        <f>IF(INDEX('Res Measure Mapping'!$U:$U,MATCH($D47,'Res Measure Mapping'!$B:$B,0))="N/A",Y47,INDEX('Res Measure Mapping'!$U:$U,MATCH($D47,'Res Measure Mapping'!$B:$B,0)))</f>
        <v>21</v>
      </c>
      <c r="AA47" s="12">
        <f t="shared" si="11"/>
        <v>21</v>
      </c>
      <c r="AB47" s="12">
        <f t="shared" si="22"/>
        <v>30689.23689109601</v>
      </c>
      <c r="AC47" s="12">
        <f t="shared" si="22"/>
        <v>30689.23689109601</v>
      </c>
      <c r="AD47" s="15">
        <f t="shared" si="29"/>
        <v>6191.19983366826</v>
      </c>
      <c r="AE47" s="13">
        <v>1250</v>
      </c>
      <c r="AF47" s="77">
        <f>ROUND(IF(INDEX('Res Measure Mapping'!$V:$V,MATCH($D47,'Res Measure Mapping'!$B:$B,0))="N/A",AE47,INDEX('Res Measure Mapping'!$V:$V,MATCH($D47,'Res Measure Mapping'!$B:$B,0))),0)</f>
        <v>600</v>
      </c>
      <c r="AG47" s="73" t="str">
        <f>INDEX('Res Measure Mapping'!$S:$S,MATCH($D47,'Res Measure Mapping'!$B:$B,0))</f>
        <v>household</v>
      </c>
      <c r="AH47" s="13">
        <v>1500</v>
      </c>
      <c r="AI47" s="13">
        <f t="shared" si="36"/>
        <v>20826.738897857387</v>
      </c>
      <c r="AJ47" s="16">
        <f t="shared" si="31"/>
        <v>0.67863332580615365</v>
      </c>
      <c r="AK47" s="16">
        <f t="shared" si="32"/>
        <v>0.88037180029603368</v>
      </c>
      <c r="AL47" s="82">
        <f>IF($B$2="Original",IF($AI47=0,"-",(VLOOKUP(Y47,'APP 2885'!$B$10:$G$54,6)*$R47)/($AI47+$AD47)),IF($AI47=0,"-",(VLOOKUP(AA47,'APP 2885'!$B$10:$G$54,6)*$R47)/($AI47+$AD47)))</f>
        <v>1.7142924053868467</v>
      </c>
      <c r="AM47" s="17">
        <f t="shared" si="33"/>
        <v>2.3008291879530978</v>
      </c>
      <c r="AN47" s="18">
        <f t="shared" si="34"/>
        <v>2.5025676624429778</v>
      </c>
      <c r="AO47" s="108">
        <f>IF($B$2="Original",IF($AI47=0,"-",(VLOOKUP(Y47,'APP 2885'!$B$10:$G$54,4)*$R47)/($X47+$AD47)),IF($AI47=0,"-",(VLOOKUP(AA47,'APP 2885'!$B$10:$G$54,4)*$R47)/($X47+$AD47)))</f>
        <v>0.5482422618154138</v>
      </c>
    </row>
    <row r="48" spans="3:41" ht="30.6" customHeight="1" thickBot="1" x14ac:dyDescent="0.3">
      <c r="C48" s="119">
        <v>13</v>
      </c>
      <c r="D48" s="55" t="str">
        <f t="shared" si="0"/>
        <v>High-Efficiency Combination Domestic Hot Water &amp; Hydronic Space Heating System_Zone 2_95+%  (AFUE) Hydronic Space Heating &amp; DHW</v>
      </c>
      <c r="E48" s="3" t="s">
        <v>87</v>
      </c>
      <c r="F48" s="3" t="s">
        <v>23</v>
      </c>
      <c r="G48" s="3" t="s">
        <v>90</v>
      </c>
      <c r="H48" s="3" t="str">
        <f t="shared" si="1"/>
        <v>95+%  (AFUE) Hydronic Space Heating &amp; DHW</v>
      </c>
      <c r="I48" s="4">
        <v>7</v>
      </c>
      <c r="J48" s="4">
        <v>7</v>
      </c>
      <c r="K48" s="4"/>
      <c r="L48" s="4">
        <f t="shared" si="20"/>
        <v>4.8324021407592745</v>
      </c>
      <c r="M48" s="131">
        <v>1.3900170352330152E-3</v>
      </c>
      <c r="N48" s="70">
        <v>160</v>
      </c>
      <c r="O48" s="70">
        <f>IF(INDEX('Res Measure Mapping'!$R:$R,MATCH($D48,'Res Measure Mapping'!$B:$B,0))="N/A",N48,INDEX('Res Measure Mapping'!$R:$R,MATCH($D48,'Res Measure Mapping'!$B:$B,0)))</f>
        <v>146.03600407141286</v>
      </c>
      <c r="P48" s="70" t="str">
        <f>INDEX('Res Measure Mapping'!$S:$S,MATCH($D48,'Res Measure Mapping'!$B:$B,0))</f>
        <v>household</v>
      </c>
      <c r="Q48" s="70">
        <f>O48</f>
        <v>146.03600407141286</v>
      </c>
      <c r="R48" s="135">
        <f t="shared" si="26"/>
        <v>705.70469870262559</v>
      </c>
      <c r="S48" s="5">
        <v>2500</v>
      </c>
      <c r="T48" s="76">
        <f>IF(INDEX('Res Measure Mapping'!$T:$T,MATCH($D48,'Res Measure Mapping'!$B:$B,0))="N/A",S48,INDEX('Res Measure Mapping'!$T:$T,MATCH($D48,'Res Measure Mapping'!$B:$B,0)))</f>
        <v>5190.57</v>
      </c>
      <c r="U48" s="5">
        <f t="shared" si="19"/>
        <v>5190.57</v>
      </c>
      <c r="V48" s="5">
        <f t="shared" si="30"/>
        <v>102.92271215938959</v>
      </c>
      <c r="W48" s="5">
        <f t="shared" si="27"/>
        <v>25082.921579760867</v>
      </c>
      <c r="X48" s="6">
        <f t="shared" si="28"/>
        <v>24585.557645189081</v>
      </c>
      <c r="Y48" s="4">
        <v>21</v>
      </c>
      <c r="Z48" s="70">
        <f>IF(INDEX('Res Measure Mapping'!$U:$U,MATCH($D48,'Res Measure Mapping'!$B:$B,0))="N/A",Y48,INDEX('Res Measure Mapping'!$U:$U,MATCH($D48,'Res Measure Mapping'!$B:$B,0)))</f>
        <v>21</v>
      </c>
      <c r="AA48" s="4">
        <f t="shared" si="11"/>
        <v>21</v>
      </c>
      <c r="AB48" s="4">
        <f t="shared" ref="AB48:AC67" si="38">IF($B$2="Original",PV($F$96,$Y48,-$R48),PV($F$96,$AA48,-$R48))</f>
        <v>10470.819675195469</v>
      </c>
      <c r="AC48" s="4">
        <f t="shared" si="38"/>
        <v>10470.819675195469</v>
      </c>
      <c r="AD48" s="7">
        <f t="shared" si="29"/>
        <v>2112.3671879325557</v>
      </c>
      <c r="AE48" s="5">
        <v>1250</v>
      </c>
      <c r="AF48" s="76">
        <f>ROUND(IF(INDEX('Res Measure Mapping'!$V:$V,MATCH($D48,'Res Measure Mapping'!$B:$B,0))="N/A",AE48,INDEX('Res Measure Mapping'!$V:$V,MATCH($D48,'Res Measure Mapping'!$B:$B,0))),0)</f>
        <v>600</v>
      </c>
      <c r="AG48" s="70" t="str">
        <f>INDEX('Res Measure Mapping'!$S:$S,MATCH($D48,'Res Measure Mapping'!$B:$B,0))</f>
        <v>household</v>
      </c>
      <c r="AH48" s="5">
        <v>1500</v>
      </c>
      <c r="AI48" s="5">
        <f t="shared" si="36"/>
        <v>7248.6032111389122</v>
      </c>
      <c r="AJ48" s="8">
        <f t="shared" si="31"/>
        <v>0.692267027414317</v>
      </c>
      <c r="AK48" s="8">
        <f t="shared" si="32"/>
        <v>0.89400550190419714</v>
      </c>
      <c r="AL48" s="81">
        <f>IF($B$2="Original",IF($AI48=0,"-",(VLOOKUP(Y48,'APP 2885'!$B$10:$G$54,6)*$R48)/($AI48+$AD48)),IF($AI48=0,"-",(VLOOKUP(AA48,'APP 2885'!$B$10:$G$54,6)*$R48)/($AI48+$AD48)))</f>
        <v>1.6881492205021866</v>
      </c>
      <c r="AM48" s="9">
        <f t="shared" si="33"/>
        <v>2.3480069763239539</v>
      </c>
      <c r="AN48" s="10">
        <f t="shared" si="34"/>
        <v>2.5497454508138344</v>
      </c>
      <c r="AO48" s="107">
        <f>IF($B$2="Original",IF($AI48=0,"-",(VLOOKUP(Y48,'APP 2885'!$B$10:$G$54,4)*$R48)/($X48+$AD48)),IF($AI48=0,"-",(VLOOKUP(AA48,'APP 2885'!$B$10:$G$54,4)*$R48)/($X48+$AD48)))</f>
        <v>0.53809816786453279</v>
      </c>
    </row>
    <row r="49" spans="3:41" ht="20.100000000000001" customHeight="1" thickBot="1" x14ac:dyDescent="0.3">
      <c r="C49" s="119">
        <v>21</v>
      </c>
      <c r="D49" s="55" t="str">
        <f t="shared" si="0"/>
        <v>High-Efficiency Exterior Entry (not sliding) Door_Zone 1_U-Factor &lt;0.21, Energy Star Door</v>
      </c>
      <c r="E49" s="11" t="s">
        <v>51</v>
      </c>
      <c r="F49" s="11" t="s">
        <v>21</v>
      </c>
      <c r="G49" s="11" t="s">
        <v>52</v>
      </c>
      <c r="H49" s="11" t="str">
        <f t="shared" si="1"/>
        <v>U-Factor &lt;0.21, Energy Star Door</v>
      </c>
      <c r="I49" s="12">
        <v>71</v>
      </c>
      <c r="J49" s="12">
        <v>78</v>
      </c>
      <c r="K49" s="12"/>
      <c r="L49" s="12">
        <f t="shared" si="20"/>
        <v>93.273350687900702</v>
      </c>
      <c r="M49" s="132">
        <v>2.3883504051501574E-3</v>
      </c>
      <c r="N49" s="71">
        <v>13</v>
      </c>
      <c r="O49" s="73">
        <f>IF(INDEX('Res Measure Mapping'!$R:$R,MATCH($D49,'Res Measure Mapping'!$B:$B,0))="N/A",N49,INDEX('Res Measure Mapping'!$R:$R,MATCH($D49,'Res Measure Mapping'!$B:$B,0)))</f>
        <v>6.4089337258906038</v>
      </c>
      <c r="P49" s="73" t="str">
        <f>INDEX('Res Measure Mapping'!$S:$S,MATCH($D49,'Res Measure Mapping'!$B:$B,0))</f>
        <v>door</v>
      </c>
      <c r="Q49" s="71">
        <f>N49</f>
        <v>13</v>
      </c>
      <c r="R49" s="136">
        <f t="shared" si="26"/>
        <v>1212.5535589427091</v>
      </c>
      <c r="S49" s="13">
        <v>200</v>
      </c>
      <c r="T49" s="77">
        <f>IF(INDEX('Res Measure Mapping'!$T:$T,MATCH($D49,'Res Measure Mapping'!$B:$B,0))="N/A",S49,INDEX('Res Measure Mapping'!$T:$T,MATCH($D49,'Res Measure Mapping'!$B:$B,0)))</f>
        <v>410.13</v>
      </c>
      <c r="U49" s="13">
        <f t="shared" ref="U49:U61" si="39">S49</f>
        <v>200</v>
      </c>
      <c r="V49" s="13">
        <f t="shared" si="30"/>
        <v>14.127784147806333</v>
      </c>
      <c r="W49" s="13">
        <f t="shared" si="27"/>
        <v>18654.670137580142</v>
      </c>
      <c r="X49" s="14">
        <f t="shared" si="28"/>
        <v>17336.924372318837</v>
      </c>
      <c r="Y49" s="12">
        <v>25</v>
      </c>
      <c r="Z49" s="73">
        <f>IF(INDEX('Res Measure Mapping'!$U:$U,MATCH($D49,'Res Measure Mapping'!$B:$B,0))="N/A",Y49,INDEX('Res Measure Mapping'!$U:$U,MATCH($D49,'Res Measure Mapping'!$B:$B,0)))</f>
        <v>45</v>
      </c>
      <c r="AA49" s="12">
        <f t="shared" si="11"/>
        <v>45</v>
      </c>
      <c r="AB49" s="12">
        <f t="shared" si="38"/>
        <v>27742.016110764303</v>
      </c>
      <c r="AC49" s="12">
        <f t="shared" si="38"/>
        <v>27742.016110764303</v>
      </c>
      <c r="AD49" s="15">
        <f t="shared" si="29"/>
        <v>3629.5044601945397</v>
      </c>
      <c r="AE49" s="13">
        <v>100</v>
      </c>
      <c r="AF49" s="77">
        <f>ROUND(IF(INDEX('Res Measure Mapping'!$V:$V,MATCH($D49,'Res Measure Mapping'!$B:$B,0))="N/A",AE49,INDEX('Res Measure Mapping'!$V:$V,MATCH($D49,'Res Measure Mapping'!$B:$B,0))),0)</f>
        <v>50</v>
      </c>
      <c r="AG49" s="73" t="str">
        <f>INDEX('Res Measure Mapping'!$S:$S,MATCH($D49,'Res Measure Mapping'!$B:$B,0))</f>
        <v>door</v>
      </c>
      <c r="AH49" s="13">
        <f t="shared" ref="AH49:AH51" si="40">AE49</f>
        <v>100</v>
      </c>
      <c r="AI49" s="13">
        <f t="shared" si="36"/>
        <v>9327.3350687900711</v>
      </c>
      <c r="AJ49" s="16">
        <f t="shared" si="31"/>
        <v>0.33621691486117083</v>
      </c>
      <c r="AK49" s="16">
        <f t="shared" si="32"/>
        <v>0.46704750935376932</v>
      </c>
      <c r="AL49" s="82">
        <f>IF($B$2="Original",IF($AI49=0,"-",(VLOOKUP(Y49,'APP 2885'!$B$10:$G$54,6)*$R49)/($AI49+$AD49)),IF($AI49=0,"-",(VLOOKUP(AA49,'APP 2885'!$B$10:$G$54,6)*$R49)/($AI49+$AD49)))</f>
        <v>5.7335796689114842</v>
      </c>
      <c r="AM49" s="17">
        <f t="shared" si="33"/>
        <v>0.62493382972234168</v>
      </c>
      <c r="AN49" s="18">
        <f t="shared" si="34"/>
        <v>0.75576442421494017</v>
      </c>
      <c r="AO49" s="108">
        <f>IF($B$2="Original",IF($AI49=0,"-",(VLOOKUP(Y49,'APP 2885'!$B$10:$G$54,4)*$R49)/($X49+$AD49)),IF($AI49=0,"-",(VLOOKUP(AA49,'APP 2885'!$B$10:$G$54,4)*$R49)/($X49+$AD49)))</f>
        <v>3.2211265096121031</v>
      </c>
    </row>
    <row r="50" spans="3:41" ht="20.100000000000001" customHeight="1" thickBot="1" x14ac:dyDescent="0.3">
      <c r="C50" s="119">
        <v>21</v>
      </c>
      <c r="D50" s="55" t="str">
        <f t="shared" si="0"/>
        <v>High-Efficiency Exterior Entry (not sliding) Door_Zone 2_U-Factor &lt;0.21, Energy Star Door</v>
      </c>
      <c r="E50" s="3" t="s">
        <v>51</v>
      </c>
      <c r="F50" s="3" t="s">
        <v>23</v>
      </c>
      <c r="G50" s="3" t="s">
        <v>52</v>
      </c>
      <c r="H50" s="3" t="str">
        <f t="shared" si="1"/>
        <v>U-Factor &lt;0.21, Energy Star Door</v>
      </c>
      <c r="I50" s="4">
        <v>64</v>
      </c>
      <c r="J50" s="4">
        <v>64</v>
      </c>
      <c r="K50" s="4"/>
      <c r="L50" s="4">
        <f t="shared" si="20"/>
        <v>65.873995612439955</v>
      </c>
      <c r="M50" s="131">
        <v>1.6867645790518313E-3</v>
      </c>
      <c r="N50" s="70">
        <v>13</v>
      </c>
      <c r="O50" s="70">
        <f>IF(INDEX('Res Measure Mapping'!$R:$R,MATCH($D50,'Res Measure Mapping'!$B:$B,0))="N/A",N50,INDEX('Res Measure Mapping'!$R:$R,MATCH($D50,'Res Measure Mapping'!$B:$B,0)))</f>
        <v>9.1929593665283793</v>
      </c>
      <c r="P50" s="70" t="str">
        <f>INDEX('Res Measure Mapping'!$S:$S,MATCH($D50,'Res Measure Mapping'!$B:$B,0))</f>
        <v>door</v>
      </c>
      <c r="Q50" s="70">
        <f>N50</f>
        <v>13</v>
      </c>
      <c r="R50" s="135">
        <f t="shared" si="26"/>
        <v>856.36194296171948</v>
      </c>
      <c r="S50" s="5">
        <v>200</v>
      </c>
      <c r="T50" s="76">
        <f>IF(INDEX('Res Measure Mapping'!$T:$T,MATCH($D50,'Res Measure Mapping'!$B:$B,0))="N/A",S50,INDEX('Res Measure Mapping'!$T:$T,MATCH($D50,'Res Measure Mapping'!$B:$B,0)))</f>
        <v>410.13</v>
      </c>
      <c r="U50" s="5">
        <f t="shared" si="39"/>
        <v>200</v>
      </c>
      <c r="V50" s="5">
        <f t="shared" si="30"/>
        <v>14.127784147806333</v>
      </c>
      <c r="W50" s="5">
        <f t="shared" si="27"/>
        <v>13174.799122487992</v>
      </c>
      <c r="X50" s="6">
        <f t="shared" si="28"/>
        <v>12244.145531521899</v>
      </c>
      <c r="Y50" s="4">
        <v>25</v>
      </c>
      <c r="Z50" s="70">
        <f>IF(INDEX('Res Measure Mapping'!$U:$U,MATCH($D50,'Res Measure Mapping'!$B:$B,0))="N/A",Y50,INDEX('Res Measure Mapping'!$U:$U,MATCH($D50,'Res Measure Mapping'!$B:$B,0)))</f>
        <v>45</v>
      </c>
      <c r="AA50" s="4">
        <f t="shared" si="11"/>
        <v>45</v>
      </c>
      <c r="AB50" s="4">
        <f t="shared" si="38"/>
        <v>19592.707178233541</v>
      </c>
      <c r="AC50" s="4">
        <f t="shared" si="38"/>
        <v>19592.707178233541</v>
      </c>
      <c r="AD50" s="7">
        <f t="shared" si="29"/>
        <v>2563.3255278476963</v>
      </c>
      <c r="AE50" s="5">
        <v>100</v>
      </c>
      <c r="AF50" s="76">
        <f>ROUND(IF(INDEX('Res Measure Mapping'!$V:$V,MATCH($D50,'Res Measure Mapping'!$B:$B,0))="N/A",AE50,INDEX('Res Measure Mapping'!$V:$V,MATCH($D50,'Res Measure Mapping'!$B:$B,0))),0)</f>
        <v>50</v>
      </c>
      <c r="AG50" s="70" t="str">
        <f>INDEX('Res Measure Mapping'!$S:$S,MATCH($D50,'Res Measure Mapping'!$B:$B,0))</f>
        <v>door</v>
      </c>
      <c r="AH50" s="5">
        <f t="shared" si="40"/>
        <v>100</v>
      </c>
      <c r="AI50" s="5">
        <f t="shared" si="36"/>
        <v>6587.3995612439958</v>
      </c>
      <c r="AJ50" s="8">
        <f t="shared" si="31"/>
        <v>0.33621691486117078</v>
      </c>
      <c r="AK50" s="8">
        <f t="shared" si="32"/>
        <v>0.46704750935376921</v>
      </c>
      <c r="AL50" s="81">
        <f>IF($B$2="Original",IF($AI50=0,"-",(VLOOKUP(Y50,'APP 2885'!$B$10:$G$54,6)*$R50)/($AI50+$AD50)),IF($AI50=0,"-",(VLOOKUP(AA50,'APP 2885'!$B$10:$G$54,6)*$R50)/($AI50+$AD50)))</f>
        <v>5.733579668911486</v>
      </c>
      <c r="AM50" s="9">
        <f t="shared" si="33"/>
        <v>0.62493382972234157</v>
      </c>
      <c r="AN50" s="10">
        <f t="shared" si="34"/>
        <v>0.75576442421494017</v>
      </c>
      <c r="AO50" s="107">
        <f>IF($B$2="Original",IF($AI50=0,"-",(VLOOKUP(Y50,'APP 2885'!$B$10:$G$54,4)*$R50)/($X50+$AD50)),IF($AI50=0,"-",(VLOOKUP(AA50,'APP 2885'!$B$10:$G$54,4)*$R50)/($X50+$AD50)))</f>
        <v>3.2211265096121031</v>
      </c>
    </row>
    <row r="51" spans="3:41" ht="20.100000000000001" customHeight="1" thickBot="1" x14ac:dyDescent="0.3">
      <c r="C51" s="119">
        <v>21</v>
      </c>
      <c r="D51" s="55" t="str">
        <f t="shared" si="0"/>
        <v>High-Efficiency Exterior Entry (not sliding) Door_Zone 3_U-Factor &lt;0.21, Energy Star Door</v>
      </c>
      <c r="E51" s="11" t="s">
        <v>51</v>
      </c>
      <c r="F51" s="11" t="s">
        <v>24</v>
      </c>
      <c r="G51" s="11" t="s">
        <v>52</v>
      </c>
      <c r="H51" s="11" t="str">
        <f t="shared" si="1"/>
        <v>U-Factor &lt;0.21, Energy Star Door</v>
      </c>
      <c r="I51" s="12">
        <v>78</v>
      </c>
      <c r="J51" s="12">
        <v>86</v>
      </c>
      <c r="K51" s="12"/>
      <c r="L51" s="12">
        <f t="shared" si="20"/>
        <v>105.53054839554747</v>
      </c>
      <c r="M51" s="132">
        <v>2.7022072881200663E-3</v>
      </c>
      <c r="N51" s="71">
        <v>13</v>
      </c>
      <c r="O51" s="73">
        <f>IF(INDEX('Res Measure Mapping'!$R:$R,MATCH($D51,'Res Measure Mapping'!$B:$B,0))="N/A",N51,INDEX('Res Measure Mapping'!$R:$R,MATCH($D51,'Res Measure Mapping'!$B:$B,0)))</f>
        <v>8.8582733125943296</v>
      </c>
      <c r="P51" s="73" t="str">
        <f>INDEX('Res Measure Mapping'!$S:$S,MATCH($D51,'Res Measure Mapping'!$B:$B,0))</f>
        <v>door</v>
      </c>
      <c r="Q51" s="71">
        <f>N51</f>
        <v>13</v>
      </c>
      <c r="R51" s="136">
        <f t="shared" si="26"/>
        <v>1371.8971291421171</v>
      </c>
      <c r="S51" s="13">
        <v>200</v>
      </c>
      <c r="T51" s="77">
        <f>IF(INDEX('Res Measure Mapping'!$T:$T,MATCH($D51,'Res Measure Mapping'!$B:$B,0))="N/A",S51,INDEX('Res Measure Mapping'!$T:$T,MATCH($D51,'Res Measure Mapping'!$B:$B,0)))</f>
        <v>410.13</v>
      </c>
      <c r="U51" s="13">
        <f t="shared" si="39"/>
        <v>200</v>
      </c>
      <c r="V51" s="13">
        <f t="shared" si="30"/>
        <v>14.127784147806333</v>
      </c>
      <c r="W51" s="13">
        <f t="shared" si="27"/>
        <v>21106.109679109493</v>
      </c>
      <c r="X51" s="14">
        <f t="shared" si="28"/>
        <v>19615.196870377567</v>
      </c>
      <c r="Y51" s="12">
        <v>25</v>
      </c>
      <c r="Z51" s="73">
        <f>IF(INDEX('Res Measure Mapping'!$U:$U,MATCH($D51,'Res Measure Mapping'!$B:$B,0))="N/A",Y51,INDEX('Res Measure Mapping'!$U:$U,MATCH($D51,'Res Measure Mapping'!$B:$B,0)))</f>
        <v>45</v>
      </c>
      <c r="AA51" s="12">
        <f t="shared" si="11"/>
        <v>45</v>
      </c>
      <c r="AB51" s="12">
        <f t="shared" si="38"/>
        <v>31387.638078566833</v>
      </c>
      <c r="AC51" s="12">
        <f t="shared" si="38"/>
        <v>31387.638078566833</v>
      </c>
      <c r="AD51" s="15">
        <f t="shared" si="29"/>
        <v>4106.463349537421</v>
      </c>
      <c r="AE51" s="13">
        <v>100</v>
      </c>
      <c r="AF51" s="77">
        <f>ROUND(IF(INDEX('Res Measure Mapping'!$V:$V,MATCH($D51,'Res Measure Mapping'!$B:$B,0))="N/A",AE51,INDEX('Res Measure Mapping'!$V:$V,MATCH($D51,'Res Measure Mapping'!$B:$B,0))),0)</f>
        <v>50</v>
      </c>
      <c r="AG51" s="73" t="str">
        <f>INDEX('Res Measure Mapping'!$S:$S,MATCH($D51,'Res Measure Mapping'!$B:$B,0))</f>
        <v>door</v>
      </c>
      <c r="AH51" s="13">
        <f t="shared" si="40"/>
        <v>100</v>
      </c>
      <c r="AI51" s="13">
        <f t="shared" si="36"/>
        <v>10553.054839554747</v>
      </c>
      <c r="AJ51" s="16">
        <f t="shared" si="31"/>
        <v>0.33621691486117078</v>
      </c>
      <c r="AK51" s="16">
        <f t="shared" si="32"/>
        <v>0.46704750935376926</v>
      </c>
      <c r="AL51" s="82">
        <f>IF($B$2="Original",IF($AI51=0,"-",(VLOOKUP(Y51,'APP 2885'!$B$10:$G$54,6)*$R51)/($AI51+$AD51)),IF($AI51=0,"-",(VLOOKUP(AA51,'APP 2885'!$B$10:$G$54,6)*$R51)/($AI51+$AD51)))</f>
        <v>5.7335796689114851</v>
      </c>
      <c r="AM51" s="17">
        <f t="shared" si="33"/>
        <v>0.62493382972234146</v>
      </c>
      <c r="AN51" s="18">
        <f t="shared" si="34"/>
        <v>0.75576442421494006</v>
      </c>
      <c r="AO51" s="108">
        <f>IF($B$2="Original",IF($AI51=0,"-",(VLOOKUP(Y51,'APP 2885'!$B$10:$G$54,4)*$R51)/($X51+$AD51)),IF($AI51=0,"-",(VLOOKUP(AA51,'APP 2885'!$B$10:$G$54,4)*$R51)/($X51+$AD51)))</f>
        <v>3.2211265096121036</v>
      </c>
    </row>
    <row r="52" spans="3:41" ht="20.100000000000001" customHeight="1" thickBot="1" x14ac:dyDescent="0.3">
      <c r="C52" s="119">
        <v>15</v>
      </c>
      <c r="D52" s="55" t="str">
        <f>E52&amp;"_"&amp;F52&amp;"_"&amp;G52</f>
        <v>High-Efficiency Natural Gas Furnace_Zone 1_95+% Annual Fuel Utilization Efficiency (AFUE)</v>
      </c>
      <c r="E52" s="3" t="s">
        <v>53</v>
      </c>
      <c r="F52" s="3" t="s">
        <v>21</v>
      </c>
      <c r="G52" s="3" t="s">
        <v>36</v>
      </c>
      <c r="H52" s="3" t="s">
        <v>36</v>
      </c>
      <c r="I52" s="4">
        <v>852</v>
      </c>
      <c r="J52" s="4">
        <v>858</v>
      </c>
      <c r="K52" s="4"/>
      <c r="L52" s="4">
        <f t="shared" si="20"/>
        <v>268.38182856762552</v>
      </c>
      <c r="M52" s="131">
        <v>0.05</v>
      </c>
      <c r="N52" s="70">
        <v>89</v>
      </c>
      <c r="O52" s="70">
        <f>'Res Measure Mapping'!R49</f>
        <v>94.584458774576376</v>
      </c>
      <c r="P52" s="70" t="str">
        <f>INDEX('Res Measure Mapping'!$S:$S,MATCH($D52,'Res Measure Mapping'!$B:$B,0))</f>
        <v>kBTU/hr</v>
      </c>
      <c r="Q52" s="70">
        <f t="shared" ref="Q52:Q57" si="41">O52</f>
        <v>94.584458774576376</v>
      </c>
      <c r="R52" s="135">
        <f t="shared" si="26"/>
        <v>25384.75</v>
      </c>
      <c r="S52" s="5">
        <v>1024</v>
      </c>
      <c r="T52" s="76">
        <f>'Res Measure Mapping'!T49</f>
        <v>2537.6999999999994</v>
      </c>
      <c r="U52" s="5">
        <f t="shared" si="39"/>
        <v>1024</v>
      </c>
      <c r="V52" s="5">
        <f t="shared" si="30"/>
        <v>67.746424992789102</v>
      </c>
      <c r="W52" s="5">
        <f t="shared" si="27"/>
        <v>274822.99245324853</v>
      </c>
      <c r="X52" s="6">
        <f t="shared" si="28"/>
        <v>256641.08303476431</v>
      </c>
      <c r="Y52" s="4">
        <v>18</v>
      </c>
      <c r="Z52" s="70">
        <f>IF(INDEX('Res Measure Mapping'!$U:$U,MATCH($D52,'Res Measure Mapping'!$B:$B,0))="N/A",Y52,INDEX('Res Measure Mapping'!$U:$U,MATCH($D52,'Res Measure Mapping'!$B:$B,0)))</f>
        <v>21.5</v>
      </c>
      <c r="AA52" s="4">
        <f t="shared" si="11"/>
        <v>21.5</v>
      </c>
      <c r="AB52" s="4">
        <f t="shared" si="38"/>
        <v>382777.04038914153</v>
      </c>
      <c r="AC52" s="4">
        <f t="shared" si="38"/>
        <v>382777.04038914153</v>
      </c>
      <c r="AD52" s="7">
        <f t="shared" si="29"/>
        <v>75983.5</v>
      </c>
      <c r="AE52" s="5">
        <v>400</v>
      </c>
      <c r="AF52" s="76">
        <f>'Res Measure Mapping'!V49</f>
        <v>656.81004653095204</v>
      </c>
      <c r="AG52" s="70" t="str">
        <f>INDEX('Res Measure Mapping'!$S:$S,MATCH($D52,'Res Measure Mapping'!$B:$B,0))</f>
        <v>kBTU/hr</v>
      </c>
      <c r="AH52" s="5">
        <v>650</v>
      </c>
      <c r="AI52" s="5">
        <f t="shared" si="36"/>
        <v>174448.1885689566</v>
      </c>
      <c r="AJ52" s="8">
        <f t="shared" si="31"/>
        <v>0.45574360570740563</v>
      </c>
      <c r="AK52" s="8">
        <f t="shared" si="32"/>
        <v>0.65424950335150966</v>
      </c>
      <c r="AL52" s="81">
        <f>IF($B$2="Original",IF($AI52=0,"-",(VLOOKUP(Y52,'APP 2885'!$B$10:$G$54,6)*$R52)/($AI52+$AD52)),IF($AI52=0,"-",(VLOOKUP(AA52,'APP 2885'!$B$10:$G$54,6)*$R52)/($AI52+$AD52)))</f>
        <v>2.2698246301163247</v>
      </c>
      <c r="AM52" s="9">
        <f t="shared" si="33"/>
        <v>0.67047146499135901</v>
      </c>
      <c r="AN52" s="10">
        <f t="shared" si="34"/>
        <v>0.86897736263546288</v>
      </c>
      <c r="AO52" s="107">
        <f>IF($B$2="Original",IF($AI52=0,"-",(VLOOKUP(Y52,'APP 2885'!$B$10:$G$54,4)*$R52)/($X52+$AD52)),IF($AI52=0,"-",(VLOOKUP(AA52,'APP 2885'!$B$10:$G$54,4)*$R52)/($X52+$AD52)))</f>
        <v>1.5535833485558002</v>
      </c>
    </row>
    <row r="53" spans="3:41" ht="20.100000000000001" customHeight="1" thickBot="1" x14ac:dyDescent="0.3">
      <c r="C53" s="119">
        <v>16</v>
      </c>
      <c r="D53" s="55" t="str">
        <f t="shared" si="0"/>
        <v>High-Efficiency Natural Gas Furnace_Zone 1_95+% Annual Fuel Utilization Efficiency (AFUE)</v>
      </c>
      <c r="E53" s="11" t="s">
        <v>53</v>
      </c>
      <c r="F53" s="11" t="s">
        <v>21</v>
      </c>
      <c r="G53" s="11" t="s">
        <v>36</v>
      </c>
      <c r="H53" s="11" t="s">
        <v>202</v>
      </c>
      <c r="I53" s="12">
        <v>2</v>
      </c>
      <c r="J53" s="12">
        <v>2</v>
      </c>
      <c r="K53" s="12"/>
      <c r="L53" s="12">
        <f t="shared" si="20"/>
        <v>551.1010098379694</v>
      </c>
      <c r="M53" s="132">
        <v>0.12320528840106008</v>
      </c>
      <c r="N53" s="71">
        <v>111</v>
      </c>
      <c r="O53" s="73">
        <f>'Res Measure Mapping'!R48</f>
        <v>113.50135052949167</v>
      </c>
      <c r="P53" s="73" t="str">
        <f>INDEX('Res Measure Mapping'!$S:$S,MATCH($D53,'Res Measure Mapping'!$B:$B,0))</f>
        <v>kBTU/hr</v>
      </c>
      <c r="Q53" s="71">
        <f t="shared" si="41"/>
        <v>113.50135052949167</v>
      </c>
      <c r="R53" s="136">
        <f t="shared" si="26"/>
        <v>62550.708894776202</v>
      </c>
      <c r="S53" s="13">
        <v>1024</v>
      </c>
      <c r="T53" s="77">
        <f>IF(INDEX('Res Measure Mapping'!$T:$T,MATCH($D53,'Res Measure Mapping'!$B:$B,0))="N/A",S53,INDEX('Res Measure Mapping'!$T:$T,MATCH($D53,'Res Measure Mapping'!$B:$B,0)))</f>
        <v>3045.24</v>
      </c>
      <c r="U53" s="13">
        <f t="shared" si="39"/>
        <v>1024</v>
      </c>
      <c r="V53" s="13">
        <f t="shared" si="30"/>
        <v>81.295709991346939</v>
      </c>
      <c r="W53" s="13">
        <f t="shared" si="27"/>
        <v>564327.43407408067</v>
      </c>
      <c r="X53" s="14">
        <f t="shared" si="28"/>
        <v>519525.28620235465</v>
      </c>
      <c r="Y53" s="12">
        <v>18</v>
      </c>
      <c r="Z53" s="73">
        <f>IF(INDEX('Res Measure Mapping'!$U:$U,MATCH($D53,'Res Measure Mapping'!$B:$B,0))="N/A",Y53,INDEX('Res Measure Mapping'!$U:$U,MATCH($D53,'Res Measure Mapping'!$B:$B,0)))</f>
        <v>21.5</v>
      </c>
      <c r="AA53" s="12">
        <f t="shared" si="11"/>
        <v>21.5</v>
      </c>
      <c r="AB53" s="12">
        <f t="shared" si="38"/>
        <v>943203.11308896809</v>
      </c>
      <c r="AC53" s="12">
        <f t="shared" si="38"/>
        <v>943203.11308896809</v>
      </c>
      <c r="AD53" s="15">
        <f t="shared" si="29"/>
        <v>187231.38062443899</v>
      </c>
      <c r="AE53" s="13">
        <v>400</v>
      </c>
      <c r="AF53" s="77">
        <f>ROUND(IF(INDEX('Res Measure Mapping'!$V:$V,MATCH($D53,'Res Measure Mapping'!$B:$B,0))="N/A",AE53,INDEX('Res Measure Mapping'!$V:$V,MATCH($D53,'Res Measure Mapping'!$B:$B,0))),0)</f>
        <v>788</v>
      </c>
      <c r="AG53" s="73" t="str">
        <f>INDEX('Res Measure Mapping'!$S:$S,MATCH($D53,'Res Measure Mapping'!$B:$B,0))</f>
        <v>kBTU/hr</v>
      </c>
      <c r="AH53" s="13">
        <v>900</v>
      </c>
      <c r="AI53" s="13">
        <f t="shared" si="36"/>
        <v>495990.90885417245</v>
      </c>
      <c r="AJ53" s="16">
        <f t="shared" si="31"/>
        <v>0.525858006585468</v>
      </c>
      <c r="AK53" s="16">
        <f t="shared" si="32"/>
        <v>0.72436390422957198</v>
      </c>
      <c r="AL53" s="82">
        <f>IF($B$2="Original",IF($AI53=0,"-",(VLOOKUP(Y53,'APP 2885'!$B$10:$G$54,6)*$R53)/($AI53+$AD53)),IF($AI53=0,"-",(VLOOKUP(AA53,'APP 2885'!$B$10:$G$54,6)*$R53)/($AI53+$AD53)))</f>
        <v>2.0501182185880702</v>
      </c>
      <c r="AM53" s="17">
        <f t="shared" si="33"/>
        <v>0.55080955415946575</v>
      </c>
      <c r="AN53" s="18">
        <f t="shared" si="34"/>
        <v>0.74931545180356984</v>
      </c>
      <c r="AO53" s="108">
        <f>IF($B$2="Original",IF($AI53=0,"-",(VLOOKUP(Y53,'APP 2885'!$B$10:$G$54,4)*$R53)/($X53+$AD53)),IF($AI53=0,"-",(VLOOKUP(AA53,'APP 2885'!$B$10:$G$54,4)*$R53)/($X53+$AD53)))</f>
        <v>1.80168279943104</v>
      </c>
    </row>
    <row r="54" spans="3:41" ht="20.100000000000001" customHeight="1" thickBot="1" x14ac:dyDescent="0.3">
      <c r="C54" s="119">
        <v>15</v>
      </c>
      <c r="D54" s="55" t="str">
        <f t="shared" si="0"/>
        <v>High-Efficiency Natural Gas Furnace_Zone 2_95+% Annual Fuel Utilization Efficiency (AFUE)</v>
      </c>
      <c r="E54" s="3" t="s">
        <v>53</v>
      </c>
      <c r="F54" s="3" t="s">
        <v>23</v>
      </c>
      <c r="G54" s="3" t="s">
        <v>36</v>
      </c>
      <c r="H54" s="3" t="s">
        <v>36</v>
      </c>
      <c r="I54" s="4">
        <v>321</v>
      </c>
      <c r="J54" s="4">
        <v>325</v>
      </c>
      <c r="K54" s="4"/>
      <c r="L54" s="4">
        <f t="shared" si="20"/>
        <v>106.19277713009463</v>
      </c>
      <c r="M54" s="131">
        <v>0.02</v>
      </c>
      <c r="N54" s="70">
        <v>90</v>
      </c>
      <c r="O54" s="70">
        <f>'Res Measure Mapping'!R51</f>
        <v>95.617614252244877</v>
      </c>
      <c r="P54" s="70" t="str">
        <f>INDEX('Res Measure Mapping'!$S:$S,MATCH($D54,'Res Measure Mapping'!$B:$B,0))</f>
        <v>kBTU/hr</v>
      </c>
      <c r="Q54" s="70">
        <f t="shared" si="41"/>
        <v>95.617614252244877</v>
      </c>
      <c r="R54" s="135">
        <f t="shared" si="26"/>
        <v>10153.9</v>
      </c>
      <c r="S54" s="5">
        <v>1024</v>
      </c>
      <c r="T54" s="76">
        <f>'Res Measure Mapping'!T51</f>
        <v>2537.6999999999994</v>
      </c>
      <c r="U54" s="5">
        <f t="shared" si="39"/>
        <v>1024</v>
      </c>
      <c r="V54" s="5">
        <f t="shared" si="30"/>
        <v>68.486425950457757</v>
      </c>
      <c r="W54" s="5">
        <f t="shared" si="27"/>
        <v>108741.4037812169</v>
      </c>
      <c r="X54" s="6">
        <f t="shared" si="28"/>
        <v>101468.64001382321</v>
      </c>
      <c r="Y54" s="4">
        <v>18</v>
      </c>
      <c r="Z54" s="70">
        <f>IF(INDEX('Res Measure Mapping'!$U:$U,MATCH($D54,'Res Measure Mapping'!$B:$B,0))="N/A",Y54,INDEX('Res Measure Mapping'!$U:$U,MATCH($D54,'Res Measure Mapping'!$B:$B,0)))</f>
        <v>21.5</v>
      </c>
      <c r="AA54" s="4">
        <f t="shared" si="11"/>
        <v>21.5</v>
      </c>
      <c r="AB54" s="4">
        <f t="shared" si="38"/>
        <v>153110.81615565659</v>
      </c>
      <c r="AC54" s="4">
        <f t="shared" si="38"/>
        <v>153110.81615565659</v>
      </c>
      <c r="AD54" s="7">
        <f t="shared" si="29"/>
        <v>30393.4</v>
      </c>
      <c r="AE54" s="5">
        <v>400</v>
      </c>
      <c r="AF54" s="76">
        <f>'Res Measure Mapping'!V51</f>
        <v>656.81004653095204</v>
      </c>
      <c r="AG54" s="70" t="str">
        <f>INDEX('Res Measure Mapping'!$S:$S,MATCH($D54,'Res Measure Mapping'!$B:$B,0))</f>
        <v>kBTU/hr</v>
      </c>
      <c r="AH54" s="5">
        <v>650</v>
      </c>
      <c r="AI54" s="5">
        <f t="shared" si="36"/>
        <v>69025.305134561509</v>
      </c>
      <c r="AJ54" s="8">
        <f t="shared" si="31"/>
        <v>0.45081926194155036</v>
      </c>
      <c r="AK54" s="8">
        <f t="shared" si="32"/>
        <v>0.64932515958565451</v>
      </c>
      <c r="AL54" s="81">
        <f>IF($B$2="Original",IF($AI54=0,"-",(VLOOKUP(Y54,'APP 2885'!$B$10:$G$54,6)*$R54)/($AI54+$AD54)),IF($AI54=0,"-",(VLOOKUP(AA54,'APP 2885'!$B$10:$G$54,6)*$R54)/($AI54+$AD54)))</f>
        <v>2.2870384968545712</v>
      </c>
      <c r="AM54" s="9">
        <f t="shared" si="33"/>
        <v>0.66271372958176544</v>
      </c>
      <c r="AN54" s="10">
        <f t="shared" si="34"/>
        <v>0.86121962722586964</v>
      </c>
      <c r="AO54" s="107">
        <f>IF($B$2="Original",IF($AI54=0,"-",(VLOOKUP(Y54,'APP 2885'!$B$10:$G$54,4)*$R54)/($X54+$AD54)),IF($AI54=0,"-",(VLOOKUP(AA54,'APP 2885'!$B$10:$G$54,4)*$R54)/($X54+$AD54)))</f>
        <v>1.5675777910578461</v>
      </c>
    </row>
    <row r="55" spans="3:41" ht="20.100000000000001" customHeight="1" thickBot="1" x14ac:dyDescent="0.3">
      <c r="C55" s="119">
        <v>16</v>
      </c>
      <c r="D55" s="55" t="str">
        <f t="shared" si="0"/>
        <v>High-Efficiency Natural Gas Furnace_Zone 2_95+% Annual Fuel Utilization Efficiency (AFUE)</v>
      </c>
      <c r="E55" s="11" t="s">
        <v>53</v>
      </c>
      <c r="F55" s="11" t="s">
        <v>23</v>
      </c>
      <c r="G55" s="11" t="s">
        <v>36</v>
      </c>
      <c r="H55" s="11" t="s">
        <v>202</v>
      </c>
      <c r="I55" s="12">
        <v>5</v>
      </c>
      <c r="J55" s="12">
        <v>5</v>
      </c>
      <c r="K55" s="12"/>
      <c r="L55" s="12">
        <f t="shared" si="20"/>
        <v>275.27396461112011</v>
      </c>
      <c r="M55" s="132">
        <v>6.2213036792260389E-2</v>
      </c>
      <c r="N55" s="71">
        <v>110</v>
      </c>
      <c r="O55" s="73">
        <f>'Res Measure Mapping'!R50</f>
        <v>114.74113710269388</v>
      </c>
      <c r="P55" s="73" t="str">
        <f>INDEX('Res Measure Mapping'!$S:$S,MATCH($D55,'Res Measure Mapping'!$B:$B,0))</f>
        <v>kBTU/hr</v>
      </c>
      <c r="Q55" s="71">
        <f t="shared" si="41"/>
        <v>114.74113710269388</v>
      </c>
      <c r="R55" s="136">
        <f t="shared" si="26"/>
        <v>31585.247714246638</v>
      </c>
      <c r="S55" s="13">
        <v>1024</v>
      </c>
      <c r="T55" s="77">
        <f>IF(INDEX('Res Measure Mapping'!$T:$T,MATCH($D55,'Res Measure Mapping'!$B:$B,0))="N/A",S55,INDEX('Res Measure Mapping'!$T:$T,MATCH($D55,'Res Measure Mapping'!$B:$B,0)))</f>
        <v>3045.24</v>
      </c>
      <c r="U55" s="13">
        <f t="shared" si="39"/>
        <v>1024</v>
      </c>
      <c r="V55" s="13">
        <f t="shared" si="30"/>
        <v>82.18371114054932</v>
      </c>
      <c r="W55" s="13">
        <f t="shared" si="27"/>
        <v>281880.53976178699</v>
      </c>
      <c r="X55" s="14">
        <f t="shared" si="28"/>
        <v>259257.50376967288</v>
      </c>
      <c r="Y55" s="12">
        <v>18</v>
      </c>
      <c r="Z55" s="73">
        <f>IF(INDEX('Res Measure Mapping'!$U:$U,MATCH($D55,'Res Measure Mapping'!$B:$B,0))="N/A",Y55,INDEX('Res Measure Mapping'!$U:$U,MATCH($D55,'Res Measure Mapping'!$B:$B,0)))</f>
        <v>21.5</v>
      </c>
      <c r="AA55" s="12">
        <f t="shared" si="11"/>
        <v>21.5</v>
      </c>
      <c r="AB55" s="12">
        <f t="shared" si="38"/>
        <v>476274.44193924405</v>
      </c>
      <c r="AC55" s="12">
        <f t="shared" si="38"/>
        <v>476274.44193924405</v>
      </c>
      <c r="AD55" s="15">
        <f t="shared" si="29"/>
        <v>94543.28562209435</v>
      </c>
      <c r="AE55" s="13">
        <v>400</v>
      </c>
      <c r="AF55" s="77">
        <f>ROUND(IF(INDEX('Res Measure Mapping'!$V:$V,MATCH($D55,'Res Measure Mapping'!$B:$B,0))="N/A",AE55,INDEX('Res Measure Mapping'!$V:$V,MATCH($D55,'Res Measure Mapping'!$B:$B,0))),0)</f>
        <v>788</v>
      </c>
      <c r="AG55" s="73" t="str">
        <f>INDEX('Res Measure Mapping'!$S:$S,MATCH($D55,'Res Measure Mapping'!$B:$B,0))</f>
        <v>kBTU/hr</v>
      </c>
      <c r="AH55" s="13">
        <v>900</v>
      </c>
      <c r="AI55" s="13">
        <f t="shared" si="36"/>
        <v>247746.5681500081</v>
      </c>
      <c r="AJ55" s="16">
        <f t="shared" si="31"/>
        <v>0.52017607147101941</v>
      </c>
      <c r="AK55" s="16">
        <f t="shared" si="32"/>
        <v>0.7186819691151235</v>
      </c>
      <c r="AL55" s="82">
        <f>IF($B$2="Original",IF($AI55=0,"-",(VLOOKUP(Y55,'APP 2885'!$B$10:$G$54,6)*$R55)/($AI55+$AD55)),IF($AI55=0,"-",(VLOOKUP(AA55,'APP 2885'!$B$10:$G$54,6)*$R55)/($AI55+$AD55)))</f>
        <v>2.0663265543966176</v>
      </c>
      <c r="AM55" s="17">
        <f t="shared" si="33"/>
        <v>0.54434477465147091</v>
      </c>
      <c r="AN55" s="18">
        <f t="shared" si="34"/>
        <v>0.742850672295575</v>
      </c>
      <c r="AO55" s="108">
        <f>IF($B$2="Original",IF($AI55=0,"-",(VLOOKUP(Y55,'APP 2885'!$B$10:$G$54,4)*$R55)/($X55+$AD55)),IF($AI55=0,"-",(VLOOKUP(AA55,'APP 2885'!$B$10:$G$54,4)*$R55)/($X55+$AD55)))</f>
        <v>1.8173622387531791</v>
      </c>
    </row>
    <row r="56" spans="3:41" ht="20.100000000000001" customHeight="1" thickBot="1" x14ac:dyDescent="0.3">
      <c r="C56" s="119">
        <v>15</v>
      </c>
      <c r="D56" s="55" t="str">
        <f t="shared" si="0"/>
        <v>High-Efficiency Natural Gas Furnace_Zone 3_95+% Annual Fuel Utilization Efficiency (AFUE)</v>
      </c>
      <c r="E56" s="3" t="s">
        <v>53</v>
      </c>
      <c r="F56" s="3" t="s">
        <v>24</v>
      </c>
      <c r="G56" s="3" t="s">
        <v>36</v>
      </c>
      <c r="H56" s="3" t="s">
        <v>36</v>
      </c>
      <c r="I56" s="4">
        <v>817</v>
      </c>
      <c r="J56" s="4">
        <v>821</v>
      </c>
      <c r="K56" s="4"/>
      <c r="L56" s="4">
        <f t="shared" si="20"/>
        <v>254.44098266996065</v>
      </c>
      <c r="M56" s="131">
        <v>4.2000000000000003E-2</v>
      </c>
      <c r="N56" s="70">
        <v>78</v>
      </c>
      <c r="O56" s="70">
        <f>'Res Measure Mapping'!R53</f>
        <v>83.804070304423576</v>
      </c>
      <c r="P56" s="70" t="str">
        <f>INDEX('Res Measure Mapping'!$S:$S,MATCH($D56,'Res Measure Mapping'!$B:$B,0))</f>
        <v>kBTU/hr</v>
      </c>
      <c r="Q56" s="70">
        <f t="shared" si="41"/>
        <v>83.804070304423576</v>
      </c>
      <c r="R56" s="135">
        <f t="shared" si="26"/>
        <v>21323.190000000002</v>
      </c>
      <c r="S56" s="5">
        <v>1024</v>
      </c>
      <c r="T56" s="76">
        <f>'Res Measure Mapping'!T53</f>
        <v>2537.6999999999994</v>
      </c>
      <c r="U56" s="5">
        <f t="shared" si="39"/>
        <v>1024</v>
      </c>
      <c r="V56" s="5">
        <f t="shared" si="30"/>
        <v>60.024936829210965</v>
      </c>
      <c r="W56" s="5">
        <f t="shared" si="27"/>
        <v>260547.5662540397</v>
      </c>
      <c r="X56" s="6">
        <f t="shared" si="28"/>
        <v>245274.76234251296</v>
      </c>
      <c r="Y56" s="4">
        <v>18</v>
      </c>
      <c r="Z56" s="70">
        <f>IF(INDEX('Res Measure Mapping'!$U:$U,MATCH($D56,'Res Measure Mapping'!$B:$B,0))="N/A",Y56,INDEX('Res Measure Mapping'!$U:$U,MATCH($D56,'Res Measure Mapping'!$B:$B,0)))</f>
        <v>21.5</v>
      </c>
      <c r="AA56" s="4">
        <f t="shared" si="11"/>
        <v>21.5</v>
      </c>
      <c r="AB56" s="4">
        <f t="shared" si="38"/>
        <v>321532.71392687893</v>
      </c>
      <c r="AC56" s="4">
        <f t="shared" si="38"/>
        <v>321532.71392687893</v>
      </c>
      <c r="AD56" s="7">
        <f t="shared" si="29"/>
        <v>63826.140000000007</v>
      </c>
      <c r="AE56" s="5">
        <v>400</v>
      </c>
      <c r="AF56" s="76">
        <f>'Res Measure Mapping'!V53</f>
        <v>656.81004653095204</v>
      </c>
      <c r="AG56" s="70" t="str">
        <f>INDEX('Res Measure Mapping'!$S:$S,MATCH($D56,'Res Measure Mapping'!$B:$B,0))</f>
        <v>kBTU/hr</v>
      </c>
      <c r="AH56" s="5">
        <v>650</v>
      </c>
      <c r="AI56" s="5">
        <f t="shared" si="36"/>
        <v>165386.63873547441</v>
      </c>
      <c r="AJ56" s="8">
        <f t="shared" si="31"/>
        <v>0.51436955423791075</v>
      </c>
      <c r="AK56" s="8">
        <f t="shared" si="32"/>
        <v>0.71287545188201484</v>
      </c>
      <c r="AL56" s="81">
        <f>IF($B$2="Original",IF($AI56=0,"-",(VLOOKUP(Y56,'APP 2885'!$B$10:$G$54,6)*$R56)/($AI56+$AD56)),IF($AI56=0,"-",(VLOOKUP(AA56,'APP 2885'!$B$10:$G$54,6)*$R56)/($AI56+$AD56)))</f>
        <v>2.0831572093387374</v>
      </c>
      <c r="AM56" s="9">
        <f t="shared" si="33"/>
        <v>0.76282988236864724</v>
      </c>
      <c r="AN56" s="10">
        <f t="shared" si="34"/>
        <v>0.96133578001275122</v>
      </c>
      <c r="AO56" s="107">
        <f>IF($B$2="Original",IF($AI56=0,"-",(VLOOKUP(Y56,'APP 2885'!$B$10:$G$54,4)*$R56)/($X56+$AD56)),IF($AI56=0,"-",(VLOOKUP(AA56,'APP 2885'!$B$10:$G$54,4)*$R56)/($X56+$AD56)))</f>
        <v>1.4043259274553197</v>
      </c>
    </row>
    <row r="57" spans="3:41" ht="20.100000000000001" customHeight="1" thickBot="1" x14ac:dyDescent="0.3">
      <c r="C57" s="119">
        <v>16</v>
      </c>
      <c r="D57" s="55" t="str">
        <f t="shared" si="0"/>
        <v>High-Efficiency Natural Gas Furnace_Zone 3_95+% Annual Fuel Utilization Efficiency (AFUE)</v>
      </c>
      <c r="E57" s="11" t="s">
        <v>53</v>
      </c>
      <c r="F57" s="11" t="s">
        <v>24</v>
      </c>
      <c r="G57" s="11" t="s">
        <v>36</v>
      </c>
      <c r="H57" s="11" t="s">
        <v>202</v>
      </c>
      <c r="I57" s="12">
        <v>16</v>
      </c>
      <c r="J57" s="12">
        <v>16</v>
      </c>
      <c r="K57" s="12"/>
      <c r="L57" s="12">
        <f t="shared" si="20"/>
        <v>447.36573883379731</v>
      </c>
      <c r="M57" s="132">
        <v>8.8614786032601353E-2</v>
      </c>
      <c r="N57" s="71">
        <v>111</v>
      </c>
      <c r="O57" s="73">
        <f>'Res Measure Mapping'!R52</f>
        <v>100.56488436530832</v>
      </c>
      <c r="P57" s="73" t="str">
        <f>INDEX('Res Measure Mapping'!$S:$S,MATCH($D57,'Res Measure Mapping'!$B:$B,0))</f>
        <v>kBTU/hr</v>
      </c>
      <c r="Q57" s="71">
        <f t="shared" si="41"/>
        <v>100.56488436530832</v>
      </c>
      <c r="R57" s="136">
        <f t="shared" si="26"/>
        <v>44989.283794821546</v>
      </c>
      <c r="S57" s="13">
        <v>1024</v>
      </c>
      <c r="T57" s="77">
        <f>IF(INDEX('Res Measure Mapping'!$T:$T,MATCH($D57,'Res Measure Mapping'!$B:$B,0))="N/A",S57,INDEX('Res Measure Mapping'!$T:$T,MATCH($D57,'Res Measure Mapping'!$B:$B,0)))</f>
        <v>3045.24</v>
      </c>
      <c r="U57" s="13">
        <f t="shared" si="39"/>
        <v>1024</v>
      </c>
      <c r="V57" s="13">
        <f t="shared" si="30"/>
        <v>72.029924195053169</v>
      </c>
      <c r="W57" s="13">
        <f t="shared" si="27"/>
        <v>458102.51656580844</v>
      </c>
      <c r="X57" s="14">
        <f t="shared" si="28"/>
        <v>425878.79631014605</v>
      </c>
      <c r="Y57" s="12">
        <v>18</v>
      </c>
      <c r="Z57" s="73">
        <f>IF(INDEX('Res Measure Mapping'!$U:$U,MATCH($D57,'Res Measure Mapping'!$B:$B,0))="N/A",Y57,INDEX('Res Measure Mapping'!$U:$U,MATCH($D57,'Res Measure Mapping'!$B:$B,0)))</f>
        <v>21.5</v>
      </c>
      <c r="AA57" s="12">
        <f t="shared" si="11"/>
        <v>21.5</v>
      </c>
      <c r="AB57" s="12">
        <f t="shared" si="38"/>
        <v>678394.11064552364</v>
      </c>
      <c r="AC57" s="12">
        <f t="shared" si="38"/>
        <v>678394.11064552364</v>
      </c>
      <c r="AD57" s="15">
        <f t="shared" si="29"/>
        <v>134665.2318901633</v>
      </c>
      <c r="AE57" s="13">
        <v>400</v>
      </c>
      <c r="AF57" s="77">
        <f>ROUND(IF(INDEX('Res Measure Mapping'!$V:$V,MATCH($D57,'Res Measure Mapping'!$B:$B,0))="N/A",AE57,INDEX('Res Measure Mapping'!$V:$V,MATCH($D57,'Res Measure Mapping'!$B:$B,0))),0)</f>
        <v>788</v>
      </c>
      <c r="AG57" s="73" t="str">
        <f>INDEX('Res Measure Mapping'!$S:$S,MATCH($D57,'Res Measure Mapping'!$B:$B,0))</f>
        <v>kBTU/hr</v>
      </c>
      <c r="AH57" s="13">
        <v>900</v>
      </c>
      <c r="AI57" s="13">
        <f t="shared" si="36"/>
        <v>402629.16495041759</v>
      </c>
      <c r="AJ57" s="16">
        <f t="shared" si="31"/>
        <v>0.59350333181297399</v>
      </c>
      <c r="AK57" s="16">
        <f t="shared" si="32"/>
        <v>0.79200922945707797</v>
      </c>
      <c r="AL57" s="82">
        <f>IF($B$2="Original",IF($AI57=0,"-",(VLOOKUP(Y57,'APP 2885'!$B$10:$G$54,6)*$R57)/($AI57+$AD57)),IF($AI57=0,"-",(VLOOKUP(AA57,'APP 2885'!$B$10:$G$54,6)*$R57)/($AI57+$AD57)))</f>
        <v>1.8750180953909064</v>
      </c>
      <c r="AM57" s="17">
        <f t="shared" si="33"/>
        <v>0.62777490197387253</v>
      </c>
      <c r="AN57" s="18">
        <f t="shared" si="34"/>
        <v>0.82628079961797662</v>
      </c>
      <c r="AO57" s="108">
        <f>IF($B$2="Original",IF($AI57=0,"-",(VLOOKUP(Y57,'APP 2885'!$B$10:$G$54,4)*$R57)/($X57+$AD57)),IF($AI57=0,"-",(VLOOKUP(AA57,'APP 2885'!$B$10:$G$54,4)*$R57)/($X57+$AD57)))</f>
        <v>1.6338619528452845</v>
      </c>
    </row>
    <row r="58" spans="3:41" ht="20.100000000000001" customHeight="1" thickBot="1" x14ac:dyDescent="0.3">
      <c r="C58" s="119" t="s">
        <v>125</v>
      </c>
      <c r="D58" s="55" t="str">
        <f t="shared" si="0"/>
        <v>High-Efficiency Natural Gas Hearth (Fireplace)_Zone 1_Natural Gas Hearth (Fireplace) - 70% FE Hearth</v>
      </c>
      <c r="E58" s="3" t="s">
        <v>54</v>
      </c>
      <c r="F58" s="3" t="s">
        <v>21</v>
      </c>
      <c r="G58" s="3" t="s">
        <v>55</v>
      </c>
      <c r="H58" s="3" t="str">
        <f>G58</f>
        <v>Natural Gas Hearth (Fireplace) - 70% FE Hearth</v>
      </c>
      <c r="I58" s="4">
        <v>1</v>
      </c>
      <c r="J58" s="4">
        <v>1</v>
      </c>
      <c r="K58" s="4"/>
      <c r="L58" s="4">
        <f t="shared" si="20"/>
        <v>87.209409126481432</v>
      </c>
      <c r="M58" s="131">
        <v>9.6194110855591652E-3</v>
      </c>
      <c r="N58" s="70">
        <v>56</v>
      </c>
      <c r="O58" s="70">
        <f>IF(INDEX('Res Measure Mapping'!$R:$R,MATCH($D58,'Res Measure Mapping'!$B:$B,0))="N/A",N58,INDEX('Res Measure Mapping'!$R:$R,MATCH($D58,'Res Measure Mapping'!$B:$B,0)))</f>
        <v>27.245883386285314</v>
      </c>
      <c r="P58" s="70" t="str">
        <f>INDEX('Res Measure Mapping'!$S:$S,MATCH($D58,'Res Measure Mapping'!$B:$B,0))</f>
        <v>unit</v>
      </c>
      <c r="Q58" s="70">
        <f>N58</f>
        <v>56</v>
      </c>
      <c r="R58" s="135">
        <f t="shared" si="26"/>
        <v>4883.7269110829602</v>
      </c>
      <c r="S58" s="5">
        <v>425</v>
      </c>
      <c r="T58" s="76">
        <f>IF(INDEX('Res Measure Mapping'!$T:$T,MATCH($D58,'Res Measure Mapping'!$B:$B,0))="N/A",S58,INDEX('Res Measure Mapping'!$T:$T,MATCH($D58,'Res Measure Mapping'!$B:$B,0)))</f>
        <v>256.39</v>
      </c>
      <c r="U58" s="5">
        <f t="shared" si="39"/>
        <v>425</v>
      </c>
      <c r="V58" s="5">
        <f t="shared" si="30"/>
        <v>38.149365901048498</v>
      </c>
      <c r="W58" s="5">
        <f t="shared" si="27"/>
        <v>37063.99887875461</v>
      </c>
      <c r="X58" s="6">
        <f t="shared" si="28"/>
        <v>33737.01521997423</v>
      </c>
      <c r="Y58" s="4">
        <v>20</v>
      </c>
      <c r="Z58" s="70">
        <f>IF(INDEX('Res Measure Mapping'!$U:$U,MATCH($D58,'Res Measure Mapping'!$B:$B,0))="N/A",Y58,INDEX('Res Measure Mapping'!$U:$U,MATCH($D58,'Res Measure Mapping'!$B:$B,0)))</f>
        <v>20</v>
      </c>
      <c r="AA58" s="4">
        <f t="shared" si="11"/>
        <v>20</v>
      </c>
      <c r="AB58" s="4">
        <f t="shared" si="38"/>
        <v>70041.761237481653</v>
      </c>
      <c r="AC58" s="4">
        <f t="shared" si="38"/>
        <v>70041.761237481653</v>
      </c>
      <c r="AD58" s="7">
        <f t="shared" si="29"/>
        <v>14618.330444391697</v>
      </c>
      <c r="AE58" s="5">
        <v>250</v>
      </c>
      <c r="AF58" s="76">
        <f>ROUND(IF(INDEX('Res Measure Mapping'!$V:$V,MATCH($D58,'Res Measure Mapping'!$B:$B,0))="N/A",AE58,INDEX('Res Measure Mapping'!$V:$V,MATCH($D58,'Res Measure Mapping'!$B:$B,0))),0)</f>
        <v>100</v>
      </c>
      <c r="AG58" s="70" t="str">
        <f>INDEX('Res Measure Mapping'!$S:$S,MATCH($D58,'Res Measure Mapping'!$B:$B,0))</f>
        <v>unit</v>
      </c>
      <c r="AH58" s="5">
        <f t="shared" ref="AH58:AH61" si="42">AE58</f>
        <v>250</v>
      </c>
      <c r="AI58" s="5">
        <f t="shared" si="36"/>
        <v>21802.352281620359</v>
      </c>
      <c r="AJ58" s="8">
        <f t="shared" si="31"/>
        <v>0.3112764712997137</v>
      </c>
      <c r="AK58" s="8">
        <f t="shared" si="32"/>
        <v>0.51998524997858209</v>
      </c>
      <c r="AL58" s="81">
        <f>IF($B$2="Original",IF($AI58=0,"-",(VLOOKUP(Y58,'APP 2885'!$B$10:$G$54,6)*$R58)/($AI58+$AD58)),IF($AI58=0,"-",(VLOOKUP(AA58,'APP 2885'!$B$10:$G$54,6)*$R58)/($AI58+$AD58)))</f>
        <v>2.8347137325720579</v>
      </c>
      <c r="AM58" s="9">
        <f t="shared" si="33"/>
        <v>0.48167000120951331</v>
      </c>
      <c r="AN58" s="10">
        <f t="shared" si="34"/>
        <v>0.6903787798883817</v>
      </c>
      <c r="AO58" s="107">
        <f>IF($B$2="Original",IF($AI58=0,"-",(VLOOKUP(Y58,'APP 2885'!$B$10:$G$54,4)*$R58)/($X58+$AD58)),IF($AI58=0,"-",(VLOOKUP(AA58,'APP 2885'!$B$10:$G$54,4)*$R58)/($X58+$AD58)))</f>
        <v>1.9409757654901405</v>
      </c>
    </row>
    <row r="59" spans="3:41" ht="20.100000000000001" customHeight="1" thickBot="1" x14ac:dyDescent="0.3">
      <c r="C59" s="119">
        <v>19</v>
      </c>
      <c r="D59" s="55" t="str">
        <f t="shared" si="0"/>
        <v>High-Efficiency Natural Gas Hearth (Fireplace)_Zone 1_High-Efficiency Natural Gas Fireplace</v>
      </c>
      <c r="E59" s="11" t="s">
        <v>54</v>
      </c>
      <c r="F59" s="11" t="s">
        <v>21</v>
      </c>
      <c r="G59" s="11" t="s">
        <v>56</v>
      </c>
      <c r="H59" s="11" t="str">
        <f>G59</f>
        <v>High-Efficiency Natural Gas Fireplace</v>
      </c>
      <c r="I59" s="12">
        <v>87</v>
      </c>
      <c r="J59" s="12">
        <v>98</v>
      </c>
      <c r="K59" s="12"/>
      <c r="L59" s="12">
        <f t="shared" si="20"/>
        <v>87.209409126481432</v>
      </c>
      <c r="M59" s="132">
        <v>9.6194110855591652E-3</v>
      </c>
      <c r="N59" s="71">
        <v>56</v>
      </c>
      <c r="O59" s="73">
        <f>IF(INDEX('Res Measure Mapping'!$R:$R,MATCH($D59,'Res Measure Mapping'!$B:$B,0))="N/A",N59,INDEX('Res Measure Mapping'!$R:$R,MATCH($D59,'Res Measure Mapping'!$B:$B,0)))</f>
        <v>27.245883386285314</v>
      </c>
      <c r="P59" s="73" t="str">
        <f>INDEX('Res Measure Mapping'!$S:$S,MATCH($D59,'Res Measure Mapping'!$B:$B,0))</f>
        <v>unit</v>
      </c>
      <c r="Q59" s="71">
        <f>N59</f>
        <v>56</v>
      </c>
      <c r="R59" s="136">
        <f t="shared" si="26"/>
        <v>4883.7269110829602</v>
      </c>
      <c r="S59" s="13">
        <v>425</v>
      </c>
      <c r="T59" s="77">
        <f>IF(INDEX('Res Measure Mapping'!$T:$T,MATCH($D59,'Res Measure Mapping'!$B:$B,0))="N/A",S59,INDEX('Res Measure Mapping'!$T:$T,MATCH($D59,'Res Measure Mapping'!$B:$B,0)))</f>
        <v>256.39</v>
      </c>
      <c r="U59" s="13">
        <f t="shared" si="39"/>
        <v>425</v>
      </c>
      <c r="V59" s="13">
        <f t="shared" si="30"/>
        <v>38.149365901048498</v>
      </c>
      <c r="W59" s="13">
        <f t="shared" si="27"/>
        <v>37063.99887875461</v>
      </c>
      <c r="X59" s="14">
        <f t="shared" si="28"/>
        <v>33737.01521997423</v>
      </c>
      <c r="Y59" s="12">
        <v>20</v>
      </c>
      <c r="Z59" s="73">
        <f>IF(INDEX('Res Measure Mapping'!$U:$U,MATCH($D59,'Res Measure Mapping'!$B:$B,0))="N/A",Y59,INDEX('Res Measure Mapping'!$U:$U,MATCH($D59,'Res Measure Mapping'!$B:$B,0)))</f>
        <v>20</v>
      </c>
      <c r="AA59" s="12">
        <f t="shared" si="11"/>
        <v>20</v>
      </c>
      <c r="AB59" s="12">
        <f t="shared" si="38"/>
        <v>70041.761237481653</v>
      </c>
      <c r="AC59" s="12">
        <f t="shared" si="38"/>
        <v>70041.761237481653</v>
      </c>
      <c r="AD59" s="15">
        <f t="shared" si="29"/>
        <v>14618.330444391697</v>
      </c>
      <c r="AE59" s="13">
        <v>300</v>
      </c>
      <c r="AF59" s="77">
        <f>ROUND(IF(INDEX('Res Measure Mapping'!$V:$V,MATCH($D59,'Res Measure Mapping'!$B:$B,0))="N/A",AE59,INDEX('Res Measure Mapping'!$V:$V,MATCH($D59,'Res Measure Mapping'!$B:$B,0))),0)</f>
        <v>100</v>
      </c>
      <c r="AG59" s="73" t="str">
        <f>INDEX('Res Measure Mapping'!$S:$S,MATCH($D59,'Res Measure Mapping'!$B:$B,0))</f>
        <v>unit</v>
      </c>
      <c r="AH59" s="13">
        <f t="shared" si="42"/>
        <v>300</v>
      </c>
      <c r="AI59" s="13">
        <f t="shared" si="36"/>
        <v>26162.822737944429</v>
      </c>
      <c r="AJ59" s="16">
        <f t="shared" si="31"/>
        <v>0.37353176555965645</v>
      </c>
      <c r="AK59" s="16">
        <f t="shared" si="32"/>
        <v>0.58224054423852478</v>
      </c>
      <c r="AL59" s="82">
        <f>IF($B$2="Original",IF($AI59=0,"-",(VLOOKUP(Y59,'APP 2885'!$B$10:$G$54,6)*$R59)/($AI59+$AD59)),IF($AI59=0,"-",(VLOOKUP(AA59,'APP 2885'!$B$10:$G$54,6)*$R59)/($AI59+$AD59)))</f>
        <v>2.5316157444462468</v>
      </c>
      <c r="AM59" s="17">
        <f t="shared" si="33"/>
        <v>0.48167000120951331</v>
      </c>
      <c r="AN59" s="18">
        <f t="shared" si="34"/>
        <v>0.6903787798883817</v>
      </c>
      <c r="AO59" s="108">
        <f>IF($B$2="Original",IF($AI59=0,"-",(VLOOKUP(Y59,'APP 2885'!$B$10:$G$54,4)*$R59)/($X59+$AD59)),IF($AI59=0,"-",(VLOOKUP(AA59,'APP 2885'!$B$10:$G$54,4)*$R59)/($X59+$AD59)))</f>
        <v>1.9409757654901405</v>
      </c>
    </row>
    <row r="60" spans="3:41" ht="20.100000000000001" customHeight="1" thickBot="1" x14ac:dyDescent="0.3">
      <c r="C60" s="119">
        <v>19</v>
      </c>
      <c r="D60" s="55" t="str">
        <f t="shared" si="0"/>
        <v>High-Efficiency Natural Gas Hearth (Fireplace)_Zone 2_High-Efficiency Natural Gas Fireplace</v>
      </c>
      <c r="E60" s="3" t="s">
        <v>54</v>
      </c>
      <c r="F60" s="3" t="s">
        <v>23</v>
      </c>
      <c r="G60" s="3" t="s">
        <v>56</v>
      </c>
      <c r="H60" s="3" t="str">
        <f>G60</f>
        <v>High-Efficiency Natural Gas Fireplace</v>
      </c>
      <c r="I60" s="4">
        <v>21</v>
      </c>
      <c r="J60" s="4">
        <v>21</v>
      </c>
      <c r="K60" s="4"/>
      <c r="L60" s="4">
        <f t="shared" si="20"/>
        <v>40.936894269783416</v>
      </c>
      <c r="M60" s="131">
        <v>4.5154395436391367E-3</v>
      </c>
      <c r="N60" s="70">
        <v>56</v>
      </c>
      <c r="O60" s="70">
        <f>IF(INDEX('Res Measure Mapping'!$R:$R,MATCH($D60,'Res Measure Mapping'!$B:$B,0))="N/A",N60,INDEX('Res Measure Mapping'!$R:$R,MATCH($D60,'Res Measure Mapping'!$B:$B,0)))</f>
        <v>27.245883386285314</v>
      </c>
      <c r="P60" s="70" t="str">
        <f>INDEX('Res Measure Mapping'!$S:$S,MATCH($D60,'Res Measure Mapping'!$B:$B,0))</f>
        <v>unit</v>
      </c>
      <c r="Q60" s="70">
        <f>N60</f>
        <v>56</v>
      </c>
      <c r="R60" s="135">
        <f t="shared" si="26"/>
        <v>2292.4660791078713</v>
      </c>
      <c r="S60" s="5">
        <v>425</v>
      </c>
      <c r="T60" s="76">
        <f>IF(INDEX('Res Measure Mapping'!$T:$T,MATCH($D60,'Res Measure Mapping'!$B:$B,0))="N/A",S60,INDEX('Res Measure Mapping'!$T:$T,MATCH($D60,'Res Measure Mapping'!$B:$B,0)))</f>
        <v>256.39</v>
      </c>
      <c r="U60" s="5">
        <f t="shared" si="39"/>
        <v>425</v>
      </c>
      <c r="V60" s="5">
        <f t="shared" si="30"/>
        <v>38.149365901048498</v>
      </c>
      <c r="W60" s="5">
        <f t="shared" si="27"/>
        <v>17398.18006465795</v>
      </c>
      <c r="X60" s="6">
        <f t="shared" si="28"/>
        <v>15836.463506307447</v>
      </c>
      <c r="Y60" s="4">
        <v>20</v>
      </c>
      <c r="Z60" s="70">
        <f>IF(INDEX('Res Measure Mapping'!$U:$U,MATCH($D60,'Res Measure Mapping'!$B:$B,0))="N/A",Y60,INDEX('Res Measure Mapping'!$U:$U,MATCH($D60,'Res Measure Mapping'!$B:$B,0)))</f>
        <v>20</v>
      </c>
      <c r="AA60" s="4">
        <f t="shared" si="11"/>
        <v>20</v>
      </c>
      <c r="AB60" s="4">
        <f t="shared" si="38"/>
        <v>32878.243333694802</v>
      </c>
      <c r="AC60" s="4">
        <f t="shared" si="38"/>
        <v>32878.243333694802</v>
      </c>
      <c r="AD60" s="7">
        <f t="shared" si="29"/>
        <v>6861.9780112820872</v>
      </c>
      <c r="AE60" s="5">
        <v>300</v>
      </c>
      <c r="AF60" s="76">
        <f>ROUND(IF(INDEX('Res Measure Mapping'!$V:$V,MATCH($D60,'Res Measure Mapping'!$B:$B,0))="N/A",AE60,INDEX('Res Measure Mapping'!$V:$V,MATCH($D60,'Res Measure Mapping'!$B:$B,0))),0)</f>
        <v>100</v>
      </c>
      <c r="AG60" s="70" t="str">
        <f>INDEX('Res Measure Mapping'!$S:$S,MATCH($D60,'Res Measure Mapping'!$B:$B,0))</f>
        <v>unit</v>
      </c>
      <c r="AH60" s="5">
        <f t="shared" si="42"/>
        <v>300</v>
      </c>
      <c r="AI60" s="5">
        <f t="shared" si="36"/>
        <v>12281.068280935026</v>
      </c>
      <c r="AJ60" s="8">
        <f t="shared" si="31"/>
        <v>0.3735317655596565</v>
      </c>
      <c r="AK60" s="8">
        <f t="shared" si="32"/>
        <v>0.58224054423852489</v>
      </c>
      <c r="AL60" s="81">
        <f>IF($B$2="Original",IF($AI60=0,"-",(VLOOKUP(Y60,'APP 2885'!$B$10:$G$54,6)*$R60)/($AI60+$AD60)),IF($AI60=0,"-",(VLOOKUP(AA60,'APP 2885'!$B$10:$G$54,6)*$R60)/($AI60+$AD60)))</f>
        <v>2.5316157444462468</v>
      </c>
      <c r="AM60" s="9">
        <f t="shared" si="33"/>
        <v>0.48167000120951331</v>
      </c>
      <c r="AN60" s="10">
        <f t="shared" si="34"/>
        <v>0.69037877988838159</v>
      </c>
      <c r="AO60" s="107">
        <f>IF($B$2="Original",IF($AI60=0,"-",(VLOOKUP(Y60,'APP 2885'!$B$10:$G$54,4)*$R60)/($X60+$AD60)),IF($AI60=0,"-",(VLOOKUP(AA60,'APP 2885'!$B$10:$G$54,4)*$R60)/($X60+$AD60)))</f>
        <v>1.9409757654901407</v>
      </c>
    </row>
    <row r="61" spans="3:41" ht="20.100000000000001" customHeight="1" thickBot="1" x14ac:dyDescent="0.3">
      <c r="C61" s="119">
        <v>19</v>
      </c>
      <c r="D61" s="55" t="str">
        <f t="shared" si="0"/>
        <v>High-Efficiency Natural Gas Hearth (Fireplace)_Zone 3_High-Efficiency Natural Gas Fireplace</v>
      </c>
      <c r="E61" s="11" t="s">
        <v>54</v>
      </c>
      <c r="F61" s="11" t="s">
        <v>24</v>
      </c>
      <c r="G61" s="11" t="s">
        <v>56</v>
      </c>
      <c r="H61" s="11" t="str">
        <f>G61</f>
        <v>High-Efficiency Natural Gas Fireplace</v>
      </c>
      <c r="I61" s="12">
        <v>35</v>
      </c>
      <c r="J61" s="12">
        <v>38</v>
      </c>
      <c r="K61" s="12"/>
      <c r="L61" s="12">
        <f t="shared" si="20"/>
        <v>59.255299413076656</v>
      </c>
      <c r="M61" s="132">
        <v>6.6527187908988067E-3</v>
      </c>
      <c r="N61" s="71">
        <v>57</v>
      </c>
      <c r="O61" s="73">
        <f>IF(INDEX('Res Measure Mapping'!$R:$R,MATCH($D61,'Res Measure Mapping'!$B:$B,0))="N/A",N61,INDEX('Res Measure Mapping'!$R:$R,MATCH($D61,'Res Measure Mapping'!$B:$B,0)))</f>
        <v>27.245883386285314</v>
      </c>
      <c r="P61" s="73" t="str">
        <f>INDEX('Res Measure Mapping'!$S:$S,MATCH($D61,'Res Measure Mapping'!$B:$B,0))</f>
        <v>unit</v>
      </c>
      <c r="Q61" s="71">
        <f>N61</f>
        <v>57</v>
      </c>
      <c r="R61" s="136">
        <f t="shared" si="26"/>
        <v>3377.5520665453696</v>
      </c>
      <c r="S61" s="13">
        <v>425</v>
      </c>
      <c r="T61" s="77">
        <f>IF(INDEX('Res Measure Mapping'!$T:$T,MATCH($D61,'Res Measure Mapping'!$B:$B,0))="N/A",S61,INDEX('Res Measure Mapping'!$T:$T,MATCH($D61,'Res Measure Mapping'!$B:$B,0)))</f>
        <v>256.39</v>
      </c>
      <c r="U61" s="13">
        <f t="shared" si="39"/>
        <v>425</v>
      </c>
      <c r="V61" s="13">
        <f t="shared" si="30"/>
        <v>38.830604577852938</v>
      </c>
      <c r="W61" s="13">
        <f t="shared" si="27"/>
        <v>25183.50225055758</v>
      </c>
      <c r="X61" s="14">
        <f t="shared" si="28"/>
        <v>22882.583149906117</v>
      </c>
      <c r="Y61" s="12">
        <v>20</v>
      </c>
      <c r="Z61" s="73">
        <f>IF(INDEX('Res Measure Mapping'!$U:$U,MATCH($D61,'Res Measure Mapping'!$B:$B,0))="N/A",Y61,INDEX('Res Measure Mapping'!$U:$U,MATCH($D61,'Res Measure Mapping'!$B:$B,0)))</f>
        <v>20</v>
      </c>
      <c r="AA61" s="12">
        <f t="shared" si="11"/>
        <v>20</v>
      </c>
      <c r="AB61" s="12">
        <f t="shared" si="38"/>
        <v>48440.40211897812</v>
      </c>
      <c r="AC61" s="12">
        <f t="shared" si="38"/>
        <v>48440.40211897812</v>
      </c>
      <c r="AD61" s="15">
        <f t="shared" si="29"/>
        <v>10109.937164965189</v>
      </c>
      <c r="AE61" s="13">
        <v>300</v>
      </c>
      <c r="AF61" s="77">
        <f>ROUND(IF(INDEX('Res Measure Mapping'!$V:$V,MATCH($D61,'Res Measure Mapping'!$B:$B,0))="N/A",AE61,INDEX('Res Measure Mapping'!$V:$V,MATCH($D61,'Res Measure Mapping'!$B:$B,0))),0)</f>
        <v>100</v>
      </c>
      <c r="AG61" s="73" t="str">
        <f>INDEX('Res Measure Mapping'!$S:$S,MATCH($D61,'Res Measure Mapping'!$B:$B,0))</f>
        <v>unit</v>
      </c>
      <c r="AH61" s="13">
        <f t="shared" si="42"/>
        <v>300</v>
      </c>
      <c r="AI61" s="13">
        <f t="shared" si="36"/>
        <v>17776.589823922997</v>
      </c>
      <c r="AJ61" s="16">
        <f t="shared" si="31"/>
        <v>0.36697857669018885</v>
      </c>
      <c r="AK61" s="16">
        <f t="shared" si="32"/>
        <v>0.57568735536905724</v>
      </c>
      <c r="AL61" s="82">
        <f>IF($B$2="Original",IF($AI61=0,"-",(VLOOKUP(Y61,'APP 2885'!$B$10:$G$54,6)*$R61)/($AI61+$AD61)),IF($AI61=0,"-",(VLOOKUP(AA61,'APP 2885'!$B$10:$G$54,6)*$R61)/($AI61+$AD61)))</f>
        <v>2.5604337408179734</v>
      </c>
      <c r="AM61" s="17">
        <f t="shared" si="33"/>
        <v>0.47238631697776745</v>
      </c>
      <c r="AN61" s="18">
        <f t="shared" si="34"/>
        <v>0.68109509565663573</v>
      </c>
      <c r="AO61" s="108">
        <f>IF($B$2="Original",IF($AI61=0,"-",(VLOOKUP(Y61,'APP 2885'!$B$10:$G$54,4)*$R61)/($X61+$AD61)),IF($AI61=0,"-",(VLOOKUP(AA61,'APP 2885'!$B$10:$G$54,4)*$R61)/($X61+$AD61)))</f>
        <v>1.9674322856195499</v>
      </c>
    </row>
    <row r="62" spans="3:41" ht="20.100000000000001" customHeight="1" thickBot="1" x14ac:dyDescent="0.3">
      <c r="C62" s="119">
        <v>18</v>
      </c>
      <c r="D62" s="55" t="str">
        <f t="shared" si="0"/>
        <v>Programmable Thermostat_Zone 1_Programmable</v>
      </c>
      <c r="E62" s="3" t="s">
        <v>57</v>
      </c>
      <c r="F62" s="3" t="s">
        <v>21</v>
      </c>
      <c r="G62" s="3" t="s">
        <v>58</v>
      </c>
      <c r="H62" s="3" t="s">
        <v>331</v>
      </c>
      <c r="I62" s="4">
        <v>599</v>
      </c>
      <c r="J62" s="4">
        <v>640</v>
      </c>
      <c r="K62" s="4"/>
      <c r="L62" s="4">
        <f t="shared" si="20"/>
        <v>99.028820449445007</v>
      </c>
      <c r="M62" s="131">
        <v>5.5585527870780959E-3</v>
      </c>
      <c r="N62" s="70">
        <v>18</v>
      </c>
      <c r="O62" s="70">
        <f>IF(INDEX('Res Measure Mapping'!$R:$R,MATCH($D62,'Res Measure Mapping'!$B:$B,0))="N/A",N62,INDEX('Res Measure Mapping'!$R:$R,MATCH($D62,'Res Measure Mapping'!$B:$B,0)))</f>
        <v>28.497254076415988</v>
      </c>
      <c r="P62" s="70" t="str">
        <f>INDEX('Res Measure Mapping'!$S:$S,MATCH($D62,'Res Measure Mapping'!$B:$B,0))</f>
        <v>household</v>
      </c>
      <c r="Q62" s="70">
        <f>O62</f>
        <v>28.497254076415988</v>
      </c>
      <c r="R62" s="135">
        <f t="shared" si="26"/>
        <v>2822.0494572356138</v>
      </c>
      <c r="S62" s="5">
        <v>16</v>
      </c>
      <c r="T62" s="76">
        <f>IF(INDEX('Res Measure Mapping'!$T:$T,MATCH($D62,'Res Measure Mapping'!$B:$B,0))="N/A",S62,INDEX('Res Measure Mapping'!$T:$T,MATCH($D62,'Res Measure Mapping'!$B:$B,0)))</f>
        <v>64.34</v>
      </c>
      <c r="U62" s="5">
        <f>T62</f>
        <v>64.34</v>
      </c>
      <c r="V62" s="5">
        <f t="shared" si="30"/>
        <v>15.701651002360951</v>
      </c>
      <c r="W62" s="5">
        <f t="shared" si="27"/>
        <v>6371.5143077172925</v>
      </c>
      <c r="X62" s="6">
        <f t="shared" si="28"/>
        <v>4816.5983298446417</v>
      </c>
      <c r="Y62" s="4">
        <v>10</v>
      </c>
      <c r="Z62" s="70">
        <f>IF(INDEX('Res Measure Mapping'!$U:$U,MATCH($D62,'Res Measure Mapping'!$B:$B,0))="N/A",Y62,INDEX('Res Measure Mapping'!$U:$U,MATCH($D62,'Res Measure Mapping'!$B:$B,0)))</f>
        <v>15</v>
      </c>
      <c r="AA62" s="4">
        <f t="shared" si="11"/>
        <v>15</v>
      </c>
      <c r="AB62" s="4">
        <f t="shared" si="38"/>
        <v>32735.073218371599</v>
      </c>
      <c r="AC62" s="4">
        <f t="shared" si="38"/>
        <v>32735.073218371599</v>
      </c>
      <c r="AD62" s="7">
        <f t="shared" si="29"/>
        <v>8447.1659139389703</v>
      </c>
      <c r="AE62" s="5">
        <v>25</v>
      </c>
      <c r="AF62" s="76">
        <f>ROUND(IF(INDEX('Res Measure Mapping'!$V:$V,MATCH($D62,'Res Measure Mapping'!$B:$B,0))="N/A",AE62,INDEX('Res Measure Mapping'!$V:$V,MATCH($D62,'Res Measure Mapping'!$B:$B,0))),0)</f>
        <v>25</v>
      </c>
      <c r="AG62" s="70" t="str">
        <f>INDEX('Res Measure Mapping'!$S:$S,MATCH($D62,'Res Measure Mapping'!$B:$B,0))</f>
        <v>household</v>
      </c>
      <c r="AH62" s="5">
        <f>AF62</f>
        <v>25</v>
      </c>
      <c r="AI62" s="5">
        <f t="shared" si="36"/>
        <v>2475.7205112361253</v>
      </c>
      <c r="AJ62" s="8">
        <f t="shared" si="31"/>
        <v>7.5628989577047889E-2</v>
      </c>
      <c r="AK62" s="8">
        <f t="shared" si="32"/>
        <v>0.33367533203026251</v>
      </c>
      <c r="AL62" s="81">
        <f>IF($B$2="Original",IF($AI62=0,"-",(VLOOKUP(Y62,'APP 2885'!$B$10:$G$54,6)*$R62)/($AI62+$AD62)),IF($AI62=0,"-",(VLOOKUP(AA62,'APP 2885'!$B$10:$G$54,6)*$R62)/($AI62+$AD62)))</f>
        <v>3.9306901406797095</v>
      </c>
      <c r="AM62" s="9">
        <f t="shared" si="33"/>
        <v>0.14713876757549046</v>
      </c>
      <c r="AN62" s="10">
        <f t="shared" si="34"/>
        <v>0.405185110028705</v>
      </c>
      <c r="AO62" s="107">
        <f>IF($B$2="Original",IF($AI62=0,"-",(VLOOKUP(Y62,'APP 2885'!$B$10:$G$54,4)*$R62)/($X62+$AD62)),IF($AI62=0,"-",(VLOOKUP(AA62,'APP 2885'!$B$10:$G$54,4)*$R62)/($X62+$AD62)))</f>
        <v>2.9427051428564988</v>
      </c>
    </row>
    <row r="63" spans="3:41" ht="20.100000000000001" customHeight="1" thickBot="1" x14ac:dyDescent="0.3">
      <c r="C63" s="119">
        <v>18</v>
      </c>
      <c r="D63" s="55" t="str">
        <f t="shared" si="0"/>
        <v>Programmable Thermostat_Zone 1_Programmable</v>
      </c>
      <c r="E63" s="11" t="s">
        <v>57</v>
      </c>
      <c r="F63" s="11" t="s">
        <v>21</v>
      </c>
      <c r="G63" s="11" t="s">
        <v>58</v>
      </c>
      <c r="H63" s="11" t="s">
        <v>331</v>
      </c>
      <c r="I63" s="12">
        <v>2</v>
      </c>
      <c r="J63" s="12">
        <v>2</v>
      </c>
      <c r="K63" s="12"/>
      <c r="L63" s="12">
        <f t="shared" si="20"/>
        <v>99.028820449445007</v>
      </c>
      <c r="M63" s="132">
        <v>5.5585527870780959E-3</v>
      </c>
      <c r="N63" s="71">
        <v>18</v>
      </c>
      <c r="O63" s="73">
        <f>IF(INDEX('Res Measure Mapping'!$R:$R,MATCH($D63,'Res Measure Mapping'!$B:$B,0))="N/A",N63,INDEX('Res Measure Mapping'!$R:$R,MATCH($D63,'Res Measure Mapping'!$B:$B,0)))</f>
        <v>28.497254076415988</v>
      </c>
      <c r="P63" s="73" t="str">
        <f>INDEX('Res Measure Mapping'!$S:$S,MATCH($D63,'Res Measure Mapping'!$B:$B,0))</f>
        <v>household</v>
      </c>
      <c r="Q63" s="71">
        <f t="shared" ref="Q63:Q67" si="43">O63</f>
        <v>28.497254076415988</v>
      </c>
      <c r="R63" s="136">
        <f t="shared" si="26"/>
        <v>2822.0494572356138</v>
      </c>
      <c r="S63" s="13">
        <v>16</v>
      </c>
      <c r="T63" s="77">
        <f>IF(INDEX('Res Measure Mapping'!$T:$T,MATCH($D63,'Res Measure Mapping'!$B:$B,0))="N/A",S63,INDEX('Res Measure Mapping'!$T:$T,MATCH($D63,'Res Measure Mapping'!$B:$B,0)))</f>
        <v>64.34</v>
      </c>
      <c r="U63" s="13">
        <f t="shared" ref="U63:U67" si="44">T63</f>
        <v>64.34</v>
      </c>
      <c r="V63" s="13">
        <f t="shared" si="30"/>
        <v>15.701651002360951</v>
      </c>
      <c r="W63" s="13">
        <f t="shared" si="27"/>
        <v>6371.5143077172925</v>
      </c>
      <c r="X63" s="14">
        <f t="shared" si="28"/>
        <v>4816.5983298446417</v>
      </c>
      <c r="Y63" s="12">
        <v>10</v>
      </c>
      <c r="Z63" s="73">
        <f>IF(INDEX('Res Measure Mapping'!$U:$U,MATCH($D63,'Res Measure Mapping'!$B:$B,0))="N/A",Y63,INDEX('Res Measure Mapping'!$U:$U,MATCH($D63,'Res Measure Mapping'!$B:$B,0)))</f>
        <v>15</v>
      </c>
      <c r="AA63" s="12">
        <f t="shared" si="11"/>
        <v>15</v>
      </c>
      <c r="AB63" s="12">
        <f t="shared" si="38"/>
        <v>32735.073218371599</v>
      </c>
      <c r="AC63" s="12">
        <f t="shared" si="38"/>
        <v>32735.073218371599</v>
      </c>
      <c r="AD63" s="15">
        <f t="shared" si="29"/>
        <v>8447.1659139389703</v>
      </c>
      <c r="AE63" s="13">
        <v>10</v>
      </c>
      <c r="AF63" s="77">
        <f>ROUND(IF(INDEX('Res Measure Mapping'!$V:$V,MATCH($D63,'Res Measure Mapping'!$B:$B,0))="N/A",AE63,INDEX('Res Measure Mapping'!$V:$V,MATCH($D63,'Res Measure Mapping'!$B:$B,0))),0)</f>
        <v>25</v>
      </c>
      <c r="AG63" s="73" t="str">
        <f>INDEX('Res Measure Mapping'!$S:$S,MATCH($D63,'Res Measure Mapping'!$B:$B,0))</f>
        <v>household</v>
      </c>
      <c r="AH63" s="13">
        <f t="shared" ref="AH63:AH67" si="45">AF63</f>
        <v>25</v>
      </c>
      <c r="AI63" s="13">
        <f t="shared" si="36"/>
        <v>2475.7205112361253</v>
      </c>
      <c r="AJ63" s="16">
        <f t="shared" si="31"/>
        <v>7.5628989577047889E-2</v>
      </c>
      <c r="AK63" s="16">
        <f t="shared" si="32"/>
        <v>0.33367533203026251</v>
      </c>
      <c r="AL63" s="82">
        <f>IF($B$2="Original",IF($AI63=0,"-",(VLOOKUP(Y63,'APP 2885'!$B$10:$G$54,6)*$R63)/($AI63+$AD63)),IF($AI63=0,"-",(VLOOKUP(AA63,'APP 2885'!$B$10:$G$54,6)*$R63)/($AI63+$AD63)))</f>
        <v>3.9306901406797095</v>
      </c>
      <c r="AM63" s="17">
        <f t="shared" si="33"/>
        <v>0.14713876757549046</v>
      </c>
      <c r="AN63" s="18">
        <f t="shared" si="34"/>
        <v>0.405185110028705</v>
      </c>
      <c r="AO63" s="108">
        <f>IF($B$2="Original",IF($AI63=0,"-",(VLOOKUP(Y63,'APP 2885'!$B$10:$G$54,4)*$R63)/($X63+$AD63)),IF($AI63=0,"-",(VLOOKUP(AA63,'APP 2885'!$B$10:$G$54,4)*$R63)/($X63+$AD63)))</f>
        <v>2.9427051428564988</v>
      </c>
    </row>
    <row r="64" spans="3:41" ht="20.100000000000001" customHeight="1" thickBot="1" x14ac:dyDescent="0.3">
      <c r="C64" s="119">
        <v>18</v>
      </c>
      <c r="D64" s="55" t="str">
        <f t="shared" si="0"/>
        <v>Programmable Thermostat_Zone 2_Programmable</v>
      </c>
      <c r="E64" s="3" t="s">
        <v>57</v>
      </c>
      <c r="F64" s="3" t="s">
        <v>23</v>
      </c>
      <c r="G64" s="3" t="s">
        <v>58</v>
      </c>
      <c r="H64" s="3" t="s">
        <v>331</v>
      </c>
      <c r="I64" s="4">
        <v>286</v>
      </c>
      <c r="J64" s="4">
        <v>289</v>
      </c>
      <c r="K64" s="4"/>
      <c r="L64" s="4">
        <f t="shared" si="20"/>
        <v>48.935259771412433</v>
      </c>
      <c r="M64" s="131">
        <v>2.7716068913105694E-3</v>
      </c>
      <c r="N64" s="70">
        <v>17</v>
      </c>
      <c r="O64" s="70">
        <f>IF(INDEX('Res Measure Mapping'!$R:$R,MATCH($D64,'Res Measure Mapping'!$B:$B,0))="N/A",N64,INDEX('Res Measure Mapping'!$R:$R,MATCH($D64,'Res Measure Mapping'!$B:$B,0)))</f>
        <v>28.754950259934116</v>
      </c>
      <c r="P64" s="70" t="str">
        <f>INDEX('Res Measure Mapping'!$S:$S,MATCH($D64,'Res Measure Mapping'!$B:$B,0))</f>
        <v>household</v>
      </c>
      <c r="Q64" s="70">
        <f t="shared" si="43"/>
        <v>28.754950259934116</v>
      </c>
      <c r="R64" s="135">
        <f t="shared" si="26"/>
        <v>1407.1309606839195</v>
      </c>
      <c r="S64" s="5">
        <v>16</v>
      </c>
      <c r="T64" s="76">
        <f>IF(INDEX('Res Measure Mapping'!$T:$T,MATCH($D64,'Res Measure Mapping'!$B:$B,0))="N/A",S64,INDEX('Res Measure Mapping'!$T:$T,MATCH($D64,'Res Measure Mapping'!$B:$B,0)))</f>
        <v>64.34</v>
      </c>
      <c r="U64" s="5">
        <f t="shared" si="44"/>
        <v>64.34</v>
      </c>
      <c r="V64" s="5">
        <f t="shared" si="30"/>
        <v>15.843638561140892</v>
      </c>
      <c r="W64" s="5">
        <f t="shared" si="27"/>
        <v>3148.494613692676</v>
      </c>
      <c r="X64" s="6">
        <f t="shared" si="28"/>
        <v>2373.1820449788793</v>
      </c>
      <c r="Y64" s="4">
        <v>10</v>
      </c>
      <c r="Z64" s="70">
        <f>IF(INDEX('Res Measure Mapping'!$U:$U,MATCH($D64,'Res Measure Mapping'!$B:$B,0))="N/A",Y64,INDEX('Res Measure Mapping'!$U:$U,MATCH($D64,'Res Measure Mapping'!$B:$B,0)))</f>
        <v>15</v>
      </c>
      <c r="AA64" s="4">
        <f t="shared" si="11"/>
        <v>15</v>
      </c>
      <c r="AB64" s="4">
        <f t="shared" si="38"/>
        <v>16322.369867658877</v>
      </c>
      <c r="AC64" s="4">
        <f t="shared" si="38"/>
        <v>16322.369867658877</v>
      </c>
      <c r="AD64" s="7">
        <f t="shared" si="29"/>
        <v>4211.9278445179334</v>
      </c>
      <c r="AE64" s="5">
        <v>25</v>
      </c>
      <c r="AF64" s="76">
        <f>ROUND(IF(INDEX('Res Measure Mapping'!$V:$V,MATCH($D64,'Res Measure Mapping'!$B:$B,0))="N/A",AE64,INDEX('Res Measure Mapping'!$V:$V,MATCH($D64,'Res Measure Mapping'!$B:$B,0))),0)</f>
        <v>25</v>
      </c>
      <c r="AG64" s="70" t="str">
        <f>INDEX('Res Measure Mapping'!$S:$S,MATCH($D64,'Res Measure Mapping'!$B:$B,0))</f>
        <v>household</v>
      </c>
      <c r="AH64" s="5">
        <f t="shared" si="45"/>
        <v>25</v>
      </c>
      <c r="AI64" s="5">
        <f t="shared" si="36"/>
        <v>1223.3814942853107</v>
      </c>
      <c r="AJ64" s="8">
        <f t="shared" si="31"/>
        <v>7.4951217513414964E-2</v>
      </c>
      <c r="AK64" s="8">
        <f t="shared" si="32"/>
        <v>0.33299755996662955</v>
      </c>
      <c r="AL64" s="81">
        <f>IF($B$2="Original",IF($AI64=0,"-",(VLOOKUP(Y64,'APP 2885'!$B$10:$G$54,6)*$R64)/($AI64+$AD64)),IF($AI64=0,"-",(VLOOKUP(AA64,'APP 2885'!$B$10:$G$54,6)*$R64)/($AI64+$AD64)))</f>
        <v>3.9386905355427149</v>
      </c>
      <c r="AM64" s="9">
        <f t="shared" si="33"/>
        <v>0.14539445339252477</v>
      </c>
      <c r="AN64" s="10">
        <f t="shared" si="34"/>
        <v>0.40344079584573933</v>
      </c>
      <c r="AO64" s="107">
        <f>IF($B$2="Original",IF($AI64=0,"-",(VLOOKUP(Y64,'APP 2885'!$B$10:$G$54,4)*$R64)/($X64+$AD64)),IF($AI64=0,"-",(VLOOKUP(AA64,'APP 2885'!$B$10:$G$54,4)*$R64)/($X64+$AD64)))</f>
        <v>2.9554282050005001</v>
      </c>
    </row>
    <row r="65" spans="3:41" ht="20.100000000000001" customHeight="1" thickBot="1" x14ac:dyDescent="0.3">
      <c r="C65" s="119">
        <v>18</v>
      </c>
      <c r="D65" s="55" t="str">
        <f t="shared" si="0"/>
        <v>Programmable Thermostat_Zone 2_Programmable</v>
      </c>
      <c r="E65" s="11" t="s">
        <v>57</v>
      </c>
      <c r="F65" s="11" t="s">
        <v>23</v>
      </c>
      <c r="G65" s="11" t="s">
        <v>58</v>
      </c>
      <c r="H65" s="11" t="s">
        <v>331</v>
      </c>
      <c r="I65" s="12">
        <v>4</v>
      </c>
      <c r="J65" s="12">
        <v>4</v>
      </c>
      <c r="K65" s="12"/>
      <c r="L65" s="12">
        <f t="shared" si="20"/>
        <v>48.935259771412433</v>
      </c>
      <c r="M65" s="132">
        <v>2.7716068913105694E-3</v>
      </c>
      <c r="N65" s="71">
        <v>17</v>
      </c>
      <c r="O65" s="73">
        <f>IF(INDEX('Res Measure Mapping'!$R:$R,MATCH($D65,'Res Measure Mapping'!$B:$B,0))="N/A",N65,INDEX('Res Measure Mapping'!$R:$R,MATCH($D65,'Res Measure Mapping'!$B:$B,0)))</f>
        <v>28.754950259934116</v>
      </c>
      <c r="P65" s="73" t="str">
        <f>INDEX('Res Measure Mapping'!$S:$S,MATCH($D65,'Res Measure Mapping'!$B:$B,0))</f>
        <v>household</v>
      </c>
      <c r="Q65" s="71">
        <f t="shared" si="43"/>
        <v>28.754950259934116</v>
      </c>
      <c r="R65" s="136">
        <f t="shared" si="26"/>
        <v>1407.1309606839195</v>
      </c>
      <c r="S65" s="13">
        <v>16</v>
      </c>
      <c r="T65" s="77">
        <f>IF(INDEX('Res Measure Mapping'!$T:$T,MATCH($D65,'Res Measure Mapping'!$B:$B,0))="N/A",S65,INDEX('Res Measure Mapping'!$T:$T,MATCH($D65,'Res Measure Mapping'!$B:$B,0)))</f>
        <v>64.34</v>
      </c>
      <c r="U65" s="13">
        <f t="shared" si="44"/>
        <v>64.34</v>
      </c>
      <c r="V65" s="13">
        <f t="shared" si="30"/>
        <v>15.843638561140892</v>
      </c>
      <c r="W65" s="13">
        <f t="shared" si="27"/>
        <v>3148.494613692676</v>
      </c>
      <c r="X65" s="14">
        <f t="shared" si="28"/>
        <v>2373.1820449788793</v>
      </c>
      <c r="Y65" s="12">
        <v>10</v>
      </c>
      <c r="Z65" s="73">
        <f>IF(INDEX('Res Measure Mapping'!$U:$U,MATCH($D65,'Res Measure Mapping'!$B:$B,0))="N/A",Y65,INDEX('Res Measure Mapping'!$U:$U,MATCH($D65,'Res Measure Mapping'!$B:$B,0)))</f>
        <v>15</v>
      </c>
      <c r="AA65" s="12">
        <f t="shared" si="11"/>
        <v>15</v>
      </c>
      <c r="AB65" s="12">
        <f t="shared" si="38"/>
        <v>16322.369867658877</v>
      </c>
      <c r="AC65" s="12">
        <f t="shared" si="38"/>
        <v>16322.369867658877</v>
      </c>
      <c r="AD65" s="15">
        <f t="shared" si="29"/>
        <v>4211.9278445179334</v>
      </c>
      <c r="AE65" s="13">
        <v>10</v>
      </c>
      <c r="AF65" s="77">
        <f>ROUND(IF(INDEX('Res Measure Mapping'!$V:$V,MATCH($D65,'Res Measure Mapping'!$B:$B,0))="N/A",AE65,INDEX('Res Measure Mapping'!$V:$V,MATCH($D65,'Res Measure Mapping'!$B:$B,0))),0)</f>
        <v>25</v>
      </c>
      <c r="AG65" s="73" t="str">
        <f>INDEX('Res Measure Mapping'!$S:$S,MATCH($D65,'Res Measure Mapping'!$B:$B,0))</f>
        <v>household</v>
      </c>
      <c r="AH65" s="13">
        <f t="shared" si="45"/>
        <v>25</v>
      </c>
      <c r="AI65" s="13">
        <f t="shared" si="36"/>
        <v>1223.3814942853107</v>
      </c>
      <c r="AJ65" s="16">
        <f t="shared" si="31"/>
        <v>7.4951217513414964E-2</v>
      </c>
      <c r="AK65" s="16">
        <f t="shared" si="32"/>
        <v>0.33299755996662955</v>
      </c>
      <c r="AL65" s="82">
        <f>IF($B$2="Original",IF($AI65=0,"-",(VLOOKUP(Y65,'APP 2885'!$B$10:$G$54,6)*$R65)/($AI65+$AD65)),IF($AI65=0,"-",(VLOOKUP(AA65,'APP 2885'!$B$10:$G$54,6)*$R65)/($AI65+$AD65)))</f>
        <v>3.9386905355427149</v>
      </c>
      <c r="AM65" s="17">
        <f t="shared" si="33"/>
        <v>0.14539445339252477</v>
      </c>
      <c r="AN65" s="18">
        <f t="shared" si="34"/>
        <v>0.40344079584573933</v>
      </c>
      <c r="AO65" s="108">
        <f>IF($B$2="Original",IF($AI65=0,"-",(VLOOKUP(Y65,'APP 2885'!$B$10:$G$54,4)*$R65)/($X65+$AD65)),IF($AI65=0,"-",(VLOOKUP(AA65,'APP 2885'!$B$10:$G$54,4)*$R65)/($X65+$AD65)))</f>
        <v>2.9554282050005001</v>
      </c>
    </row>
    <row r="66" spans="3:41" ht="20.100000000000001" customHeight="1" thickBot="1" x14ac:dyDescent="0.3">
      <c r="C66" s="119">
        <v>18</v>
      </c>
      <c r="D66" s="55" t="str">
        <f t="shared" si="0"/>
        <v>Programmable Thermostat_Zone 3_Programmable</v>
      </c>
      <c r="E66" s="3" t="s">
        <v>57</v>
      </c>
      <c r="F66" s="3" t="s">
        <v>24</v>
      </c>
      <c r="G66" s="3" t="s">
        <v>58</v>
      </c>
      <c r="H66" s="3" t="s">
        <v>331</v>
      </c>
      <c r="I66" s="4">
        <v>712</v>
      </c>
      <c r="J66" s="4">
        <v>730</v>
      </c>
      <c r="K66" s="4"/>
      <c r="L66" s="4">
        <f t="shared" si="20"/>
        <v>79.389516636581632</v>
      </c>
      <c r="M66" s="131">
        <v>3.9568750660866304E-3</v>
      </c>
      <c r="N66" s="70">
        <v>20</v>
      </c>
      <c r="O66" s="70">
        <f>IF(INDEX('Res Measure Mapping'!$R:$R,MATCH($D66,'Res Measure Mapping'!$B:$B,0))="N/A",N66,INDEX('Res Measure Mapping'!$R:$R,MATCH($D66,'Res Measure Mapping'!$B:$B,0)))</f>
        <v>25.304168255272938</v>
      </c>
      <c r="P66" s="70" t="str">
        <f>INDEX('Res Measure Mapping'!$S:$S,MATCH($D66,'Res Measure Mapping'!$B:$B,0))</f>
        <v>household</v>
      </c>
      <c r="Q66" s="70">
        <f t="shared" si="43"/>
        <v>25.304168255272938</v>
      </c>
      <c r="R66" s="135">
        <f t="shared" si="26"/>
        <v>2008.8856866768517</v>
      </c>
      <c r="S66" s="5">
        <v>16</v>
      </c>
      <c r="T66" s="76">
        <f>IF(INDEX('Res Measure Mapping'!$T:$T,MATCH($D66,'Res Measure Mapping'!$B:$B,0))="N/A",S66,INDEX('Res Measure Mapping'!$T:$T,MATCH($D66,'Res Measure Mapping'!$B:$B,0)))</f>
        <v>64.34</v>
      </c>
      <c r="U66" s="5">
        <f t="shared" si="44"/>
        <v>64.34</v>
      </c>
      <c r="V66" s="5">
        <f t="shared" si="30"/>
        <v>13.9422983626388</v>
      </c>
      <c r="W66" s="5">
        <f t="shared" si="27"/>
        <v>5107.9215003976624</v>
      </c>
      <c r="X66" s="6">
        <f t="shared" si="28"/>
        <v>4001.0491725847646</v>
      </c>
      <c r="Y66" s="4">
        <v>10</v>
      </c>
      <c r="Z66" s="70">
        <f>IF(INDEX('Res Measure Mapping'!$U:$U,MATCH($D66,'Res Measure Mapping'!$B:$B,0))="N/A",Y66,INDEX('Res Measure Mapping'!$U:$U,MATCH($D66,'Res Measure Mapping'!$B:$B,0)))</f>
        <v>15</v>
      </c>
      <c r="AA66" s="4">
        <f t="shared" si="11"/>
        <v>15</v>
      </c>
      <c r="AB66" s="4">
        <f t="shared" si="38"/>
        <v>23302.575322376797</v>
      </c>
      <c r="AC66" s="4">
        <f t="shared" si="38"/>
        <v>23302.575322376797</v>
      </c>
      <c r="AD66" s="7">
        <f t="shared" si="29"/>
        <v>6013.1443316798695</v>
      </c>
      <c r="AE66" s="5">
        <v>25</v>
      </c>
      <c r="AF66" s="76">
        <f>ROUND(IF(INDEX('Res Measure Mapping'!$V:$V,MATCH($D66,'Res Measure Mapping'!$B:$B,0))="N/A",AE66,INDEX('Res Measure Mapping'!$V:$V,MATCH($D66,'Res Measure Mapping'!$B:$B,0))),0)</f>
        <v>25</v>
      </c>
      <c r="AG66" s="70" t="str">
        <f>INDEX('Res Measure Mapping'!$S:$S,MATCH($D66,'Res Measure Mapping'!$B:$B,0))</f>
        <v>household</v>
      </c>
      <c r="AH66" s="5">
        <f t="shared" si="45"/>
        <v>25</v>
      </c>
      <c r="AI66" s="5">
        <f t="shared" si="36"/>
        <v>1984.7379159145407</v>
      </c>
      <c r="AJ66" s="8">
        <f t="shared" si="31"/>
        <v>8.5172470787323387E-2</v>
      </c>
      <c r="AK66" s="8">
        <f t="shared" si="32"/>
        <v>0.34321881324053799</v>
      </c>
      <c r="AL66" s="81">
        <f>IF($B$2="Original",IF($AI66=0,"-",(VLOOKUP(Y66,'APP 2885'!$B$10:$G$54,6)*$R66)/($AI66+$AD66)),IF($AI66=0,"-",(VLOOKUP(AA66,'APP 2885'!$B$10:$G$54,6)*$R66)/($AI66+$AD66)))</f>
        <v>3.8213940704940059</v>
      </c>
      <c r="AM66" s="9">
        <f t="shared" si="33"/>
        <v>0.1716998708182555</v>
      </c>
      <c r="AN66" s="10">
        <f t="shared" si="34"/>
        <v>0.42974621327147006</v>
      </c>
      <c r="AO66" s="107">
        <f>IF($B$2="Original",IF($AI66=0,"-",(VLOOKUP(Y66,'APP 2885'!$B$10:$G$54,4)*$R66)/($X66+$AD66)),IF($AI66=0,"-",(VLOOKUP(AA66,'APP 2885'!$B$10:$G$54,4)*$R66)/($X66+$AD66)))</f>
        <v>2.7745219626569391</v>
      </c>
    </row>
    <row r="67" spans="3:41" ht="20.100000000000001" customHeight="1" thickBot="1" x14ac:dyDescent="0.3">
      <c r="C67" s="119">
        <v>18</v>
      </c>
      <c r="D67" s="55" t="str">
        <f t="shared" si="0"/>
        <v>Programmable Thermostat_Zone 3_Programmable</v>
      </c>
      <c r="E67" s="11" t="s">
        <v>57</v>
      </c>
      <c r="F67" s="11" t="s">
        <v>24</v>
      </c>
      <c r="G67" s="11" t="s">
        <v>58</v>
      </c>
      <c r="H67" s="11" t="s">
        <v>331</v>
      </c>
      <c r="I67" s="12">
        <v>16</v>
      </c>
      <c r="J67" s="12">
        <v>16</v>
      </c>
      <c r="K67" s="12"/>
      <c r="L67" s="12">
        <f t="shared" si="20"/>
        <v>79.389516636581632</v>
      </c>
      <c r="M67" s="132">
        <v>3.9568750660866304E-3</v>
      </c>
      <c r="N67" s="71">
        <v>20</v>
      </c>
      <c r="O67" s="73">
        <f>IF(INDEX('Res Measure Mapping'!$R:$R,MATCH($D67,'Res Measure Mapping'!$B:$B,0))="N/A",N67,INDEX('Res Measure Mapping'!$R:$R,MATCH($D67,'Res Measure Mapping'!$B:$B,0)))</f>
        <v>25.304168255272938</v>
      </c>
      <c r="P67" s="73" t="str">
        <f>INDEX('Res Measure Mapping'!$S:$S,MATCH($D67,'Res Measure Mapping'!$B:$B,0))</f>
        <v>household</v>
      </c>
      <c r="Q67" s="71">
        <f t="shared" si="43"/>
        <v>25.304168255272938</v>
      </c>
      <c r="R67" s="136">
        <f t="shared" si="26"/>
        <v>2008.8856866768517</v>
      </c>
      <c r="S67" s="13">
        <v>16</v>
      </c>
      <c r="T67" s="77">
        <f>IF(INDEX('Res Measure Mapping'!$T:$T,MATCH($D67,'Res Measure Mapping'!$B:$B,0))="N/A",S67,INDEX('Res Measure Mapping'!$T:$T,MATCH($D67,'Res Measure Mapping'!$B:$B,0)))</f>
        <v>64.34</v>
      </c>
      <c r="U67" s="13">
        <f t="shared" si="44"/>
        <v>64.34</v>
      </c>
      <c r="V67" s="13">
        <f t="shared" si="30"/>
        <v>13.9422983626388</v>
      </c>
      <c r="W67" s="13">
        <f t="shared" si="27"/>
        <v>5107.9215003976624</v>
      </c>
      <c r="X67" s="14">
        <f t="shared" si="28"/>
        <v>4001.0491725847646</v>
      </c>
      <c r="Y67" s="12">
        <v>10</v>
      </c>
      <c r="Z67" s="73">
        <f>IF(INDEX('Res Measure Mapping'!$U:$U,MATCH($D67,'Res Measure Mapping'!$B:$B,0))="N/A",Y67,INDEX('Res Measure Mapping'!$U:$U,MATCH($D67,'Res Measure Mapping'!$B:$B,0)))</f>
        <v>15</v>
      </c>
      <c r="AA67" s="12">
        <f t="shared" si="11"/>
        <v>15</v>
      </c>
      <c r="AB67" s="12">
        <f t="shared" si="38"/>
        <v>23302.575322376797</v>
      </c>
      <c r="AC67" s="12">
        <f t="shared" si="38"/>
        <v>23302.575322376797</v>
      </c>
      <c r="AD67" s="15">
        <f t="shared" si="29"/>
        <v>6013.1443316798695</v>
      </c>
      <c r="AE67" s="13">
        <v>10</v>
      </c>
      <c r="AF67" s="77">
        <f>ROUND(IF(INDEX('Res Measure Mapping'!$V:$V,MATCH($D67,'Res Measure Mapping'!$B:$B,0))="N/A",AE67,INDEX('Res Measure Mapping'!$V:$V,MATCH($D67,'Res Measure Mapping'!$B:$B,0))),0)</f>
        <v>25</v>
      </c>
      <c r="AG67" s="73" t="str">
        <f>INDEX('Res Measure Mapping'!$S:$S,MATCH($D67,'Res Measure Mapping'!$B:$B,0))</f>
        <v>household</v>
      </c>
      <c r="AH67" s="13">
        <f t="shared" si="45"/>
        <v>25</v>
      </c>
      <c r="AI67" s="13">
        <f t="shared" si="36"/>
        <v>1984.7379159145407</v>
      </c>
      <c r="AJ67" s="16">
        <f t="shared" si="31"/>
        <v>8.5172470787323387E-2</v>
      </c>
      <c r="AK67" s="16">
        <f t="shared" si="32"/>
        <v>0.34321881324053799</v>
      </c>
      <c r="AL67" s="82">
        <f>IF($B$2="Original",IF($AI67=0,"-",(VLOOKUP(Y67,'APP 2885'!$B$10:$G$54,6)*$R67)/($AI67+$AD67)),IF($AI67=0,"-",(VLOOKUP(AA67,'APP 2885'!$B$10:$G$54,6)*$R67)/($AI67+$AD67)))</f>
        <v>3.8213940704940059</v>
      </c>
      <c r="AM67" s="17">
        <f t="shared" si="33"/>
        <v>0.1716998708182555</v>
      </c>
      <c r="AN67" s="18">
        <f t="shared" si="34"/>
        <v>0.42974621327147006</v>
      </c>
      <c r="AO67" s="108">
        <f>IF($B$2="Original",IF($AI67=0,"-",(VLOOKUP(Y67,'APP 2885'!$B$10:$G$54,4)*$R67)/($X67+$AD67)),IF($AI67=0,"-",(VLOOKUP(AA67,'APP 2885'!$B$10:$G$54,4)*$R67)/($X67+$AD67)))</f>
        <v>2.7745219626569391</v>
      </c>
    </row>
    <row r="68" spans="3:41" ht="20.100000000000001" customHeight="1" thickBot="1" x14ac:dyDescent="0.3">
      <c r="C68" s="119">
        <v>5</v>
      </c>
      <c r="D68" s="55" t="str">
        <f t="shared" si="0"/>
        <v>Wall Insulation_Zone 1_Post R-11+, or to fill cavity</v>
      </c>
      <c r="E68" s="3" t="s">
        <v>59</v>
      </c>
      <c r="F68" s="3" t="s">
        <v>21</v>
      </c>
      <c r="G68" s="3" t="s">
        <v>60</v>
      </c>
      <c r="H68" s="3" t="str">
        <f t="shared" ref="H68:H74" si="46">G68</f>
        <v>Post R-11+, or to fill cavity</v>
      </c>
      <c r="I68" s="4">
        <v>62</v>
      </c>
      <c r="J68" s="4">
        <v>69</v>
      </c>
      <c r="K68" s="4">
        <v>46468</v>
      </c>
      <c r="L68" s="4">
        <f t="shared" si="20"/>
        <v>65410.706457293309</v>
      </c>
      <c r="M68" s="131">
        <v>8.6137674991775826E-3</v>
      </c>
      <c r="N68" s="70">
        <v>7.0999999999999994E-2</v>
      </c>
      <c r="O68" s="70">
        <f>IF(INDEX('Res Measure Mapping'!$R:$R,MATCH($D68,'Res Measure Mapping'!$B:$B,0))="N/A",N68,INDEX('Res Measure Mapping'!$R:$R,MATCH($D68,'Res Measure Mapping'!$B:$B,0)))</f>
        <v>6.6857047222845786E-2</v>
      </c>
      <c r="P68" s="70" t="str">
        <f>INDEX('Res Measure Mapping'!$S:$S,MATCH($D68,'Res Measure Mapping'!$B:$B,0))</f>
        <v>sqft wall</v>
      </c>
      <c r="Q68" s="70">
        <f>O68</f>
        <v>6.6857047222845786E-2</v>
      </c>
      <c r="R68" s="135">
        <f t="shared" si="26"/>
        <v>4373.1666904949625</v>
      </c>
      <c r="S68" s="5">
        <v>1.18</v>
      </c>
      <c r="T68" s="76">
        <f>IF(INDEX('Res Measure Mapping'!$T:$T,MATCH($D68,'Res Measure Mapping'!$B:$B,0))="N/A",S68,INDEX('Res Measure Mapping'!$T:$T,MATCH($D68,'Res Measure Mapping'!$B:$B,0)))</f>
        <v>1.7299999999999998</v>
      </c>
      <c r="U68" s="5">
        <f t="shared" ref="U68:U74" si="47">S68</f>
        <v>1.18</v>
      </c>
      <c r="V68" s="5">
        <f t="shared" si="30"/>
        <v>7.2657071686466165E-2</v>
      </c>
      <c r="W68" s="5">
        <f t="shared" si="27"/>
        <v>77184.633619606102</v>
      </c>
      <c r="X68" s="6">
        <f t="shared" si="28"/>
        <v>72432.08323147615</v>
      </c>
      <c r="Y68" s="4">
        <v>45</v>
      </c>
      <c r="Z68" s="70">
        <f>IF(INDEX('Res Measure Mapping'!$U:$U,MATCH($D68,'Res Measure Mapping'!$B:$B,0))="N/A",Y68,INDEX('Res Measure Mapping'!$U:$U,MATCH($D68,'Res Measure Mapping'!$B:$B,0)))</f>
        <v>45</v>
      </c>
      <c r="AA68" s="4">
        <f t="shared" si="11"/>
        <v>45</v>
      </c>
      <c r="AB68" s="4">
        <f t="shared" ref="AB68:AC91" si="48">IF($B$2="Original",PV($F$96,$Y68,-$R68),PV($F$96,$AA68,-$R68))</f>
        <v>100053.69238168326</v>
      </c>
      <c r="AC68" s="4">
        <f t="shared" si="48"/>
        <v>100053.69238168326</v>
      </c>
      <c r="AD68" s="7">
        <f t="shared" si="29"/>
        <v>13090.084055475198</v>
      </c>
      <c r="AE68" s="5">
        <v>0.75</v>
      </c>
      <c r="AF68" s="76">
        <f>ROUND(IF(INDEX('Res Measure Mapping'!$V:$V,MATCH($D68,'Res Measure Mapping'!$B:$B,0))="N/A",AE68,INDEX('Res Measure Mapping'!$V:$V,MATCH($D68,'Res Measure Mapping'!$B:$B,0))),0)</f>
        <v>1</v>
      </c>
      <c r="AG68" s="70" t="str">
        <f>INDEX('Res Measure Mapping'!$S:$S,MATCH($D68,'Res Measure Mapping'!$B:$B,0))</f>
        <v>sqft wall</v>
      </c>
      <c r="AH68" s="5">
        <v>1.25</v>
      </c>
      <c r="AI68" s="5">
        <f t="shared" si="36"/>
        <v>81763.383071616641</v>
      </c>
      <c r="AJ68" s="8">
        <f t="shared" si="31"/>
        <v>0.8171950592258701</v>
      </c>
      <c r="AK68" s="8">
        <f t="shared" si="32"/>
        <v>0.94802565371846859</v>
      </c>
      <c r="AL68" s="81">
        <f>IF($B$2="Original",IF($AI68=0,"-",(VLOOKUP(Y68,'APP 2885'!$B$10:$G$54,6)*$R68)/($AI68+$AD68)),IF($AI68=0,"-",(VLOOKUP(AA68,'APP 2885'!$B$10:$G$54,6)*$R68)/($AI68+$AD68)))</f>
        <v>2.8246641781718602</v>
      </c>
      <c r="AM68" s="9">
        <f t="shared" si="33"/>
        <v>0.72393213590922134</v>
      </c>
      <c r="AN68" s="10">
        <f t="shared" si="34"/>
        <v>0.85476273040181983</v>
      </c>
      <c r="AO68" s="107">
        <f>IF($B$2="Original",IF($AI68=0,"-",(VLOOKUP(Y68,'APP 2885'!$B$10:$G$54,4)*$R68)/($X68+$AD68)),IF($AI68=0,"-",(VLOOKUP(AA68,'APP 2885'!$B$10:$G$54,4)*$R68)/($X68+$AD68)))</f>
        <v>2.8480568177277279</v>
      </c>
    </row>
    <row r="69" spans="3:41" ht="20.100000000000001" customHeight="1" thickBot="1" x14ac:dyDescent="0.3">
      <c r="C69" s="119">
        <v>5</v>
      </c>
      <c r="D69" s="55" t="str">
        <f t="shared" si="0"/>
        <v>Wall Insulation_Zone 2_Post R-11+, or to fill cavity</v>
      </c>
      <c r="E69" s="11" t="s">
        <v>59</v>
      </c>
      <c r="F69" s="11" t="s">
        <v>23</v>
      </c>
      <c r="G69" s="11" t="s">
        <v>60</v>
      </c>
      <c r="H69" s="11" t="str">
        <f t="shared" si="46"/>
        <v>Post R-11+, or to fill cavity</v>
      </c>
      <c r="I69" s="12">
        <v>8</v>
      </c>
      <c r="J69" s="12">
        <v>11</v>
      </c>
      <c r="K69" s="12">
        <v>7657</v>
      </c>
      <c r="L69" s="12">
        <f t="shared" si="20"/>
        <v>8888.6666938874096</v>
      </c>
      <c r="M69" s="132">
        <v>1.299429791811351E-3</v>
      </c>
      <c r="N69" s="71">
        <v>6.5000000000000002E-2</v>
      </c>
      <c r="O69" s="73">
        <f>IF(INDEX('Res Measure Mapping'!$R:$R,MATCH($D69,'Res Measure Mapping'!$B:$B,0))="N/A",N69,INDEX('Res Measure Mapping'!$R:$R,MATCH($D69,'Res Measure Mapping'!$B:$B,0)))</f>
        <v>7.4219681182031302E-2</v>
      </c>
      <c r="P69" s="73" t="str">
        <f>INDEX('Res Measure Mapping'!$S:$S,MATCH($D69,'Res Measure Mapping'!$B:$B,0))</f>
        <v>sqft wall</v>
      </c>
      <c r="Q69" s="71">
        <f>O69</f>
        <v>7.4219681182031302E-2</v>
      </c>
      <c r="R69" s="136">
        <f t="shared" si="26"/>
        <v>659.71400815366383</v>
      </c>
      <c r="S69" s="13">
        <v>1.18</v>
      </c>
      <c r="T69" s="77">
        <f>IF(INDEX('Res Measure Mapping'!$T:$T,MATCH($D69,'Res Measure Mapping'!$B:$B,0))="N/A",S69,INDEX('Res Measure Mapping'!$T:$T,MATCH($D69,'Res Measure Mapping'!$B:$B,0)))</f>
        <v>1.7299999999999998</v>
      </c>
      <c r="U69" s="13">
        <f t="shared" si="47"/>
        <v>1.18</v>
      </c>
      <c r="V69" s="13">
        <f t="shared" si="30"/>
        <v>8.065843348144168E-2</v>
      </c>
      <c r="W69" s="13">
        <f t="shared" si="27"/>
        <v>10488.626698787142</v>
      </c>
      <c r="X69" s="14">
        <f t="shared" si="28"/>
        <v>9771.6807675195178</v>
      </c>
      <c r="Y69" s="12">
        <v>45</v>
      </c>
      <c r="Z69" s="73">
        <f>IF(INDEX('Res Measure Mapping'!$U:$U,MATCH($D69,'Res Measure Mapping'!$B:$B,0))="N/A",Y69,INDEX('Res Measure Mapping'!$U:$U,MATCH($D69,'Res Measure Mapping'!$B:$B,0)))</f>
        <v>45</v>
      </c>
      <c r="AA69" s="12">
        <f t="shared" si="11"/>
        <v>45</v>
      </c>
      <c r="AB69" s="12">
        <f t="shared" si="48"/>
        <v>15093.598553002605</v>
      </c>
      <c r="AC69" s="12">
        <f t="shared" si="48"/>
        <v>15093.598553002605</v>
      </c>
      <c r="AD69" s="15">
        <f t="shared" si="29"/>
        <v>1974.7044717219558</v>
      </c>
      <c r="AE69" s="13">
        <v>0.75</v>
      </c>
      <c r="AF69" s="77">
        <f>ROUND(IF(INDEX('Res Measure Mapping'!$V:$V,MATCH($D69,'Res Measure Mapping'!$B:$B,0))="N/A",AE69,INDEX('Res Measure Mapping'!$V:$V,MATCH($D69,'Res Measure Mapping'!$B:$B,0))),0)</f>
        <v>1</v>
      </c>
      <c r="AG69" s="73" t="str">
        <f>INDEX('Res Measure Mapping'!$S:$S,MATCH($D69,'Res Measure Mapping'!$B:$B,0))</f>
        <v>sqft wall</v>
      </c>
      <c r="AH69" s="13">
        <v>1.25</v>
      </c>
      <c r="AI69" s="13">
        <f t="shared" si="36"/>
        <v>11110.833367359262</v>
      </c>
      <c r="AJ69" s="16">
        <f t="shared" si="31"/>
        <v>0.73612885146921825</v>
      </c>
      <c r="AK69" s="16">
        <f t="shared" si="32"/>
        <v>0.86695944596181684</v>
      </c>
      <c r="AL69" s="82">
        <f>IF($B$2="Original",IF($AI69=0,"-",(VLOOKUP(Y69,'APP 2885'!$B$10:$G$54,6)*$R69)/($AI69+$AD69)),IF($AI69=0,"-",(VLOOKUP(AA69,'APP 2885'!$B$10:$G$54,6)*$R69)/($AI69+$AD69)))</f>
        <v>3.088788197094583</v>
      </c>
      <c r="AM69" s="17">
        <f t="shared" si="33"/>
        <v>0.64740563578694188</v>
      </c>
      <c r="AN69" s="18">
        <f t="shared" si="34"/>
        <v>0.77823623027954048</v>
      </c>
      <c r="AO69" s="108">
        <f>IF($B$2="Original",IF($AI69=0,"-",(VLOOKUP(Y69,'APP 2885'!$B$10:$G$54,4)*$R69)/($X69+$AD69)),IF($AI69=0,"-",(VLOOKUP(AA69,'APP 2885'!$B$10:$G$54,4)*$R69)/($X69+$AD69)))</f>
        <v>3.1281155093306778</v>
      </c>
    </row>
    <row r="70" spans="3:41" ht="20.100000000000001" customHeight="1" thickBot="1" x14ac:dyDescent="0.3">
      <c r="C70" s="119">
        <v>5</v>
      </c>
      <c r="D70" s="55" t="str">
        <f t="shared" si="0"/>
        <v>Wall Insulation_Zone 3_Post R-11+, or to fill cavity</v>
      </c>
      <c r="E70" s="3" t="s">
        <v>59</v>
      </c>
      <c r="F70" s="3" t="s">
        <v>24</v>
      </c>
      <c r="G70" s="3" t="s">
        <v>60</v>
      </c>
      <c r="H70" s="3" t="str">
        <f t="shared" si="46"/>
        <v>Post R-11+, or to fill cavity</v>
      </c>
      <c r="I70" s="4">
        <v>18</v>
      </c>
      <c r="J70" s="4">
        <v>21</v>
      </c>
      <c r="K70" s="4">
        <v>19114</v>
      </c>
      <c r="L70" s="4">
        <f t="shared" si="20"/>
        <v>25943.573229542118</v>
      </c>
      <c r="M70" s="131">
        <v>3.7926781508963027E-3</v>
      </c>
      <c r="N70" s="70">
        <v>7.5999999999999998E-2</v>
      </c>
      <c r="O70" s="70">
        <f>IF(INDEX('Res Measure Mapping'!$R:$R,MATCH($D70,'Res Measure Mapping'!$B:$B,0))="N/A",N70,INDEX('Res Measure Mapping'!$R:$R,MATCH($D70,'Res Measure Mapping'!$B:$B,0)))</f>
        <v>7.4219681182031302E-2</v>
      </c>
      <c r="P70" s="70" t="str">
        <f>INDEX('Res Measure Mapping'!$S:$S,MATCH($D70,'Res Measure Mapping'!$B:$B,0))</f>
        <v>sqft wall</v>
      </c>
      <c r="Q70" s="70">
        <f>O70</f>
        <v>7.4219681182031302E-2</v>
      </c>
      <c r="R70" s="135">
        <f t="shared" si="26"/>
        <v>1925.5237338192983</v>
      </c>
      <c r="S70" s="5">
        <v>1.18</v>
      </c>
      <c r="T70" s="76">
        <f>IF(INDEX('Res Measure Mapping'!$T:$T,MATCH($D70,'Res Measure Mapping'!$B:$B,0))="N/A",S70,INDEX('Res Measure Mapping'!$T:$T,MATCH($D70,'Res Measure Mapping'!$B:$B,0)))</f>
        <v>1.7299999999999998</v>
      </c>
      <c r="U70" s="5">
        <f t="shared" si="47"/>
        <v>1.18</v>
      </c>
      <c r="V70" s="5">
        <f t="shared" si="30"/>
        <v>8.065843348144168E-2</v>
      </c>
      <c r="W70" s="5">
        <f t="shared" si="27"/>
        <v>30613.4164108597</v>
      </c>
      <c r="X70" s="6">
        <f t="shared" si="28"/>
        <v>28520.848435253767</v>
      </c>
      <c r="Y70" s="4">
        <v>45</v>
      </c>
      <c r="Z70" s="70">
        <f>IF(INDEX('Res Measure Mapping'!$U:$U,MATCH($D70,'Res Measure Mapping'!$B:$B,0))="N/A",Y70,INDEX('Res Measure Mapping'!$U:$U,MATCH($D70,'Res Measure Mapping'!$B:$B,0)))</f>
        <v>45</v>
      </c>
      <c r="AA70" s="4">
        <f t="shared" si="11"/>
        <v>45</v>
      </c>
      <c r="AB70" s="4">
        <f t="shared" si="48"/>
        <v>44054.062644335449</v>
      </c>
      <c r="AC70" s="4">
        <f t="shared" si="48"/>
        <v>44054.062644335449</v>
      </c>
      <c r="AD70" s="7">
        <f t="shared" si="29"/>
        <v>5763.6192055725842</v>
      </c>
      <c r="AE70" s="5">
        <v>0.75</v>
      </c>
      <c r="AF70" s="76">
        <f>ROUND(IF(INDEX('Res Measure Mapping'!$V:$V,MATCH($D70,'Res Measure Mapping'!$B:$B,0))="N/A",AE70,INDEX('Res Measure Mapping'!$V:$V,MATCH($D70,'Res Measure Mapping'!$B:$B,0))),0)</f>
        <v>1</v>
      </c>
      <c r="AG70" s="70" t="str">
        <f>INDEX('Res Measure Mapping'!$S:$S,MATCH($D70,'Res Measure Mapping'!$B:$B,0))</f>
        <v>sqft wall</v>
      </c>
      <c r="AH70" s="5">
        <v>1.25</v>
      </c>
      <c r="AI70" s="5">
        <f t="shared" si="36"/>
        <v>32429.466536927648</v>
      </c>
      <c r="AJ70" s="8">
        <f t="shared" si="31"/>
        <v>0.73612885146921836</v>
      </c>
      <c r="AK70" s="8">
        <f t="shared" si="32"/>
        <v>0.86695944596181684</v>
      </c>
      <c r="AL70" s="81">
        <f>IF($B$2="Original",IF($AI70=0,"-",(VLOOKUP(Y70,'APP 2885'!$B$10:$G$54,6)*$R70)/($AI70+$AD70)),IF($AI70=0,"-",(VLOOKUP(AA70,'APP 2885'!$B$10:$G$54,6)*$R70)/($AI70+$AD70)))</f>
        <v>3.0887881970945825</v>
      </c>
      <c r="AM70" s="9">
        <f t="shared" si="33"/>
        <v>0.6474056357869421</v>
      </c>
      <c r="AN70" s="10">
        <f t="shared" si="34"/>
        <v>0.77823623027954059</v>
      </c>
      <c r="AO70" s="107">
        <f>IF($B$2="Original",IF($AI70=0,"-",(VLOOKUP(Y70,'APP 2885'!$B$10:$G$54,4)*$R70)/($X70+$AD70)),IF($AI70=0,"-",(VLOOKUP(AA70,'APP 2885'!$B$10:$G$54,4)*$R70)/($X70+$AD70)))</f>
        <v>3.1281155093306774</v>
      </c>
    </row>
    <row r="71" spans="3:41" ht="20.100000000000001" customHeight="1" thickBot="1" x14ac:dyDescent="0.3">
      <c r="C71" s="119">
        <v>7</v>
      </c>
      <c r="D71" s="55" t="str">
        <f t="shared" si="0"/>
        <v>Whole House Residential Air Sealing_Zone 1_Min. 400 CFM50 reduction</v>
      </c>
      <c r="E71" s="11" t="s">
        <v>61</v>
      </c>
      <c r="F71" s="11" t="s">
        <v>21</v>
      </c>
      <c r="G71" s="11" t="s">
        <v>62</v>
      </c>
      <c r="H71" s="11" t="str">
        <f t="shared" si="46"/>
        <v>Min. 400 CFM50 reduction</v>
      </c>
      <c r="I71" s="12">
        <v>24</v>
      </c>
      <c r="J71" s="12">
        <v>24</v>
      </c>
      <c r="K71" s="12"/>
      <c r="L71" s="12">
        <f t="shared" si="20"/>
        <v>24.358465960935526</v>
      </c>
      <c r="M71" s="132">
        <v>3.5983906618543898E-3</v>
      </c>
      <c r="N71" s="71">
        <v>75</v>
      </c>
      <c r="O71" s="73">
        <f>IF(INDEX('Res Measure Mapping'!$R:$R,MATCH($D71,'Res Measure Mapping'!$B:$B,0))="N/A",N71,INDEX('Res Measure Mapping'!$R:$R,MATCH($D71,'Res Measure Mapping'!$B:$B,0)))</f>
        <v>26.912689862127035</v>
      </c>
      <c r="P71" s="73" t="str">
        <f>INDEX('Res Measure Mapping'!$S:$S,MATCH($D71,'Res Measure Mapping'!$B:$B,0))</f>
        <v>home</v>
      </c>
      <c r="Q71" s="71">
        <f>N71</f>
        <v>75</v>
      </c>
      <c r="R71" s="136">
        <f t="shared" si="26"/>
        <v>1826.8849470701643</v>
      </c>
      <c r="S71" s="13">
        <v>750</v>
      </c>
      <c r="T71" s="77">
        <f>IF(INDEX('Res Measure Mapping'!$T:$T,MATCH($D71,'Res Measure Mapping'!$B:$B,0))="N/A",S71,INDEX('Res Measure Mapping'!$T:$T,MATCH($D71,'Res Measure Mapping'!$B:$B,0)))</f>
        <v>1537.6415007297105</v>
      </c>
      <c r="U71" s="13">
        <f t="shared" si="47"/>
        <v>750</v>
      </c>
      <c r="V71" s="13">
        <f t="shared" si="30"/>
        <v>41.324115720737453</v>
      </c>
      <c r="W71" s="13">
        <f t="shared" si="27"/>
        <v>18268.849470701643</v>
      </c>
      <c r="X71" s="14">
        <f t="shared" si="28"/>
        <v>17262.2574045523</v>
      </c>
      <c r="Y71" s="12">
        <v>13</v>
      </c>
      <c r="Z71" s="73">
        <f>IF(INDEX('Res Measure Mapping'!$U:$U,MATCH($D71,'Res Measure Mapping'!$B:$B,0))="N/A",Y71,INDEX('Res Measure Mapping'!$U:$U,MATCH($D71,'Res Measure Mapping'!$B:$B,0)))</f>
        <v>15</v>
      </c>
      <c r="AA71" s="12">
        <f t="shared" si="11"/>
        <v>15</v>
      </c>
      <c r="AB71" s="12">
        <f t="shared" si="48"/>
        <v>21191.411918933554</v>
      </c>
      <c r="AC71" s="12">
        <f t="shared" si="48"/>
        <v>21191.411918933554</v>
      </c>
      <c r="AD71" s="15">
        <f t="shared" si="29"/>
        <v>5468.3663371002604</v>
      </c>
      <c r="AE71" s="13">
        <v>150</v>
      </c>
      <c r="AF71" s="77">
        <f>ROUND(IF(INDEX('Res Measure Mapping'!$V:$V,MATCH($D71,'Res Measure Mapping'!$B:$B,0))="N/A",AE71,INDEX('Res Measure Mapping'!$V:$V,MATCH($D71,'Res Measure Mapping'!$B:$B,0))),0)</f>
        <v>100</v>
      </c>
      <c r="AG71" s="73" t="str">
        <f>INDEX('Res Measure Mapping'!$S:$S,MATCH($D71,'Res Measure Mapping'!$B:$B,0))</f>
        <v>home</v>
      </c>
      <c r="AH71" s="13">
        <v>300</v>
      </c>
      <c r="AI71" s="13">
        <f t="shared" si="36"/>
        <v>7307.5397882806574</v>
      </c>
      <c r="AJ71" s="16">
        <f t="shared" si="31"/>
        <v>0.34483496504316002</v>
      </c>
      <c r="AK71" s="16">
        <f t="shared" si="32"/>
        <v>0.60288130749637459</v>
      </c>
      <c r="AL71" s="82">
        <f>IF($B$2="Original",IF($AI71=0,"-",(VLOOKUP(Y71,'APP 2885'!$B$10:$G$54,6)*$R71)/($AI71+$AD71)),IF($AI71=0,"-",(VLOOKUP(AA71,'APP 2885'!$B$10:$G$54,6)*$R71)/($AI71+$AD71)))</f>
        <v>2.1755100406845314</v>
      </c>
      <c r="AM71" s="17">
        <f t="shared" si="33"/>
        <v>0.81458741260790013</v>
      </c>
      <c r="AN71" s="18">
        <f t="shared" si="34"/>
        <v>1.0726337550611147</v>
      </c>
      <c r="AO71" s="108">
        <f>IF($B$2="Original",IF($AI71=0,"-",(VLOOKUP(Y71,'APP 2885'!$B$10:$G$54,4)*$R71)/($X71+$AD71)),IF($AI71=0,"-",(VLOOKUP(AA71,'APP 2885'!$B$10:$G$54,4)*$R71)/($X71+$AD71)))</f>
        <v>1.1116005826447364</v>
      </c>
    </row>
    <row r="72" spans="3:41" ht="20.100000000000001" customHeight="1" thickBot="1" x14ac:dyDescent="0.3">
      <c r="C72" s="119">
        <v>9</v>
      </c>
      <c r="D72" s="55" t="str">
        <f t="shared" ref="D72:D91" si="49">E72&amp;"_"&amp;F72&amp;"_"&amp;G72</f>
        <v>Windows_Zone 1_U Factor ? 0.27</v>
      </c>
      <c r="E72" s="3" t="s">
        <v>63</v>
      </c>
      <c r="F72" s="3" t="s">
        <v>21</v>
      </c>
      <c r="G72" s="3" t="s">
        <v>64</v>
      </c>
      <c r="H72" s="3" t="str">
        <f t="shared" si="46"/>
        <v>U Factor ? 0.27</v>
      </c>
      <c r="I72" s="4">
        <v>27</v>
      </c>
      <c r="J72" s="4">
        <v>28</v>
      </c>
      <c r="K72" s="4">
        <v>2623.97</v>
      </c>
      <c r="L72" s="4">
        <v>0</v>
      </c>
      <c r="M72" s="131">
        <v>0</v>
      </c>
      <c r="N72" s="70">
        <v>0.63</v>
      </c>
      <c r="O72" s="70" t="s">
        <v>125</v>
      </c>
      <c r="P72" s="70" t="s">
        <v>125</v>
      </c>
      <c r="Q72" s="70">
        <v>0</v>
      </c>
      <c r="R72" s="135">
        <f t="shared" ref="R72:R91" si="50">M72*$R$92</f>
        <v>0</v>
      </c>
      <c r="S72" s="5">
        <v>23.09</v>
      </c>
      <c r="T72" s="76" t="s">
        <v>125</v>
      </c>
      <c r="U72" s="5">
        <f t="shared" si="47"/>
        <v>23.09</v>
      </c>
      <c r="V72" s="5">
        <f t="shared" si="30"/>
        <v>0</v>
      </c>
      <c r="W72" s="5">
        <f t="shared" ref="W72:W91" si="51">IF($B$2="Original",IF(ISNUMBER(S72),S72*L72,""),IF(ISNUMBER(U72),U72*L72,""))</f>
        <v>0</v>
      </c>
      <c r="X72" s="6">
        <f t="shared" ref="X72:X91" si="52">W72-L72*(V72)</f>
        <v>0</v>
      </c>
      <c r="Y72" s="4">
        <v>45</v>
      </c>
      <c r="Z72" s="70" t="s">
        <v>125</v>
      </c>
      <c r="AA72" s="4">
        <f>Y72</f>
        <v>45</v>
      </c>
      <c r="AB72" s="4">
        <f t="shared" si="48"/>
        <v>0</v>
      </c>
      <c r="AC72" s="4">
        <f t="shared" si="48"/>
        <v>0</v>
      </c>
      <c r="AD72" s="7">
        <f t="shared" ref="AD72:AD91" si="53">(R72/$R$92)*$AD$92</f>
        <v>0</v>
      </c>
      <c r="AE72" s="5">
        <v>7</v>
      </c>
      <c r="AF72" s="76" t="s">
        <v>125</v>
      </c>
      <c r="AG72" s="70" t="s">
        <v>125</v>
      </c>
      <c r="AH72" s="5">
        <v>0</v>
      </c>
      <c r="AI72" s="5">
        <f t="shared" si="36"/>
        <v>0</v>
      </c>
      <c r="AJ72" s="8">
        <f t="shared" si="31"/>
        <v>0</v>
      </c>
      <c r="AK72" s="8">
        <f t="shared" si="32"/>
        <v>0</v>
      </c>
      <c r="AL72" s="81" t="str">
        <f>IF($B$2="Original",IF($AI72=0,"-",(VLOOKUP(Y72,'APP 2885'!$B$10:$G$54,6)*$R72)/($AI72+$AD72)),IF($AI72=0,"-",(VLOOKUP(AA72,'APP 2885'!$B$10:$G$54,6)*$R72)/($AI72+$AD72)))</f>
        <v>-</v>
      </c>
      <c r="AM72" s="9">
        <f t="shared" si="33"/>
        <v>0</v>
      </c>
      <c r="AN72" s="10">
        <f t="shared" si="34"/>
        <v>0</v>
      </c>
      <c r="AO72" s="107" t="str">
        <f>IF($B$2="Original",IF($AI72=0,"-",(VLOOKUP(Y72,'APP 2885'!$B$10:$G$54,4)*$R72)/($X72+$AD72)),IF($AI72=0,"-",(VLOOKUP(AA72,'APP 2885'!$B$10:$G$54,4)*$R72)/($X72+$AD72)))</f>
        <v>-</v>
      </c>
    </row>
    <row r="73" spans="3:41" ht="20.100000000000001" customHeight="1" thickBot="1" x14ac:dyDescent="0.3">
      <c r="C73" s="119">
        <v>9</v>
      </c>
      <c r="D73" s="55" t="str">
        <f t="shared" si="49"/>
        <v>Windows_Zone 2_U Factor ? 0.27</v>
      </c>
      <c r="E73" s="11" t="s">
        <v>63</v>
      </c>
      <c r="F73" s="11" t="s">
        <v>23</v>
      </c>
      <c r="G73" s="11" t="s">
        <v>64</v>
      </c>
      <c r="H73" s="11" t="str">
        <f t="shared" si="46"/>
        <v>U Factor ? 0.27</v>
      </c>
      <c r="I73" s="12">
        <v>22</v>
      </c>
      <c r="J73" s="12">
        <v>22</v>
      </c>
      <c r="K73" s="12">
        <v>3056.46</v>
      </c>
      <c r="L73" s="12">
        <v>0</v>
      </c>
      <c r="M73" s="132">
        <v>0</v>
      </c>
      <c r="N73" s="71">
        <v>0.63</v>
      </c>
      <c r="O73" s="73" t="s">
        <v>125</v>
      </c>
      <c r="P73" s="73" t="s">
        <v>125</v>
      </c>
      <c r="Q73" s="71">
        <v>0</v>
      </c>
      <c r="R73" s="136">
        <f t="shared" si="50"/>
        <v>0</v>
      </c>
      <c r="S73" s="13">
        <v>23.09</v>
      </c>
      <c r="T73" s="77" t="s">
        <v>125</v>
      </c>
      <c r="U73" s="13">
        <f t="shared" si="47"/>
        <v>23.09</v>
      </c>
      <c r="V73" s="13">
        <f t="shared" ref="V73:V90" si="54">IF($B$2="Original",PV($F$96,$Y73,(-0.05*0.95*$N73)),PV($F$96,$AA73,(-0.05*0.95*$Q73)))</f>
        <v>0</v>
      </c>
      <c r="W73" s="13">
        <f t="shared" si="51"/>
        <v>0</v>
      </c>
      <c r="X73" s="14">
        <f t="shared" si="52"/>
        <v>0</v>
      </c>
      <c r="Y73" s="12">
        <v>45</v>
      </c>
      <c r="Z73" s="73" t="s">
        <v>125</v>
      </c>
      <c r="AA73" s="12">
        <f>Y73</f>
        <v>45</v>
      </c>
      <c r="AB73" s="12">
        <f t="shared" si="48"/>
        <v>0</v>
      </c>
      <c r="AC73" s="12">
        <f t="shared" si="48"/>
        <v>0</v>
      </c>
      <c r="AD73" s="15">
        <f t="shared" si="53"/>
        <v>0</v>
      </c>
      <c r="AE73" s="13">
        <v>7</v>
      </c>
      <c r="AF73" s="77" t="s">
        <v>125</v>
      </c>
      <c r="AG73" s="73" t="s">
        <v>125</v>
      </c>
      <c r="AH73" s="13">
        <v>0</v>
      </c>
      <c r="AI73" s="13">
        <f t="shared" si="36"/>
        <v>0</v>
      </c>
      <c r="AJ73" s="16">
        <f t="shared" ref="AJ73:AJ92" si="55">IF(ISERROR(AI73/AC73),0,AI73/AC73)</f>
        <v>0</v>
      </c>
      <c r="AK73" s="16">
        <f t="shared" ref="AK73:AK92" si="56">IF(ISERROR((AD73+AI73)/AC73),0,(AD73+AI73)/AC73)</f>
        <v>0</v>
      </c>
      <c r="AL73" s="82" t="str">
        <f>IF($B$2="Original",IF($AI73=0,"-",(VLOOKUP(Y73,'APP 2885'!$B$10:$G$54,6)*$R73)/($AI73+$AD73)),IF($AI73=0,"-",(VLOOKUP(AA73,'APP 2885'!$B$10:$G$54,6)*$R73)/($AI73+$AD73)))</f>
        <v>-</v>
      </c>
      <c r="AM73" s="17">
        <f t="shared" ref="AM73:AM92" si="57">IF(ISERROR(RU73/AB73),0,X73/AB73)</f>
        <v>0</v>
      </c>
      <c r="AN73" s="18">
        <f t="shared" ref="AN73:AN92" si="58">IF(ISERROR(X73/AB73),0,(X73+AD73)/AB73)</f>
        <v>0</v>
      </c>
      <c r="AO73" s="108" t="str">
        <f>IF($B$2="Original",IF($AI73=0,"-",(VLOOKUP(Y73,'APP 2885'!$B$10:$G$54,4)*$R73)/($X73+$AD73)),IF($AI73=0,"-",(VLOOKUP(AA73,'APP 2885'!$B$10:$G$54,4)*$R73)/($X73+$AD73)))</f>
        <v>-</v>
      </c>
    </row>
    <row r="74" spans="3:41" ht="20.100000000000001" customHeight="1" thickBot="1" x14ac:dyDescent="0.3">
      <c r="C74" s="119">
        <v>9</v>
      </c>
      <c r="D74" s="55" t="str">
        <f t="shared" si="49"/>
        <v>Windows_Zone 3_U Factor ? 0.27</v>
      </c>
      <c r="E74" s="3" t="s">
        <v>63</v>
      </c>
      <c r="F74" s="3" t="s">
        <v>24</v>
      </c>
      <c r="G74" s="3" t="s">
        <v>64</v>
      </c>
      <c r="H74" s="3" t="str">
        <f t="shared" si="46"/>
        <v>U Factor ? 0.27</v>
      </c>
      <c r="I74" s="4">
        <v>22</v>
      </c>
      <c r="J74" s="4">
        <v>22</v>
      </c>
      <c r="K74" s="4">
        <v>2054.52</v>
      </c>
      <c r="L74" s="4">
        <v>0</v>
      </c>
      <c r="M74" s="131">
        <v>0</v>
      </c>
      <c r="N74" s="70">
        <v>0.63</v>
      </c>
      <c r="O74" s="70" t="s">
        <v>125</v>
      </c>
      <c r="P74" s="70" t="s">
        <v>125</v>
      </c>
      <c r="Q74" s="70">
        <v>0</v>
      </c>
      <c r="R74" s="135">
        <f t="shared" si="50"/>
        <v>0</v>
      </c>
      <c r="S74" s="5">
        <v>23.09</v>
      </c>
      <c r="T74" s="76" t="s">
        <v>125</v>
      </c>
      <c r="U74" s="5">
        <f t="shared" si="47"/>
        <v>23.09</v>
      </c>
      <c r="V74" s="5">
        <f t="shared" si="54"/>
        <v>0</v>
      </c>
      <c r="W74" s="5">
        <f t="shared" si="51"/>
        <v>0</v>
      </c>
      <c r="X74" s="6">
        <f t="shared" si="52"/>
        <v>0</v>
      </c>
      <c r="Y74" s="4">
        <v>45</v>
      </c>
      <c r="Z74" s="70" t="s">
        <v>125</v>
      </c>
      <c r="AA74" s="4">
        <f>Y74</f>
        <v>45</v>
      </c>
      <c r="AB74" s="4">
        <f t="shared" si="48"/>
        <v>0</v>
      </c>
      <c r="AC74" s="4">
        <f t="shared" si="48"/>
        <v>0</v>
      </c>
      <c r="AD74" s="7">
        <f t="shared" si="53"/>
        <v>0</v>
      </c>
      <c r="AE74" s="5">
        <v>7</v>
      </c>
      <c r="AF74" s="76" t="s">
        <v>125</v>
      </c>
      <c r="AG74" s="70" t="s">
        <v>125</v>
      </c>
      <c r="AH74" s="5">
        <v>0</v>
      </c>
      <c r="AI74" s="5">
        <f t="shared" ref="AI74:AI91" si="59">IF($B$2="Original",IF(ISNUMBER(AE74),AE74*L74,""),IF(ISNUMBER(AH74),AH74*L74,""))</f>
        <v>0</v>
      </c>
      <c r="AJ74" s="8">
        <f t="shared" si="55"/>
        <v>0</v>
      </c>
      <c r="AK74" s="8">
        <f t="shared" si="56"/>
        <v>0</v>
      </c>
      <c r="AL74" s="81" t="str">
        <f>IF($B$2="Original",IF($AI74=0,"-",(VLOOKUP(Y74,'APP 2885'!$B$10:$G$54,6)*$R74)/($AI74+$AD74)),IF($AI74=0,"-",(VLOOKUP(AA74,'APP 2885'!$B$10:$G$54,6)*$R74)/($AI74+$AD74)))</f>
        <v>-</v>
      </c>
      <c r="AM74" s="9">
        <f t="shared" si="57"/>
        <v>0</v>
      </c>
      <c r="AN74" s="10">
        <f t="shared" si="58"/>
        <v>0</v>
      </c>
      <c r="AO74" s="107" t="str">
        <f>IF($B$2="Original",IF($AI74=0,"-",(VLOOKUP(Y74,'APP 2885'!$B$10:$G$54,4)*$R74)/($X74+$AD74)),IF($AI74=0,"-",(VLOOKUP(AA74,'APP 2885'!$B$10:$G$54,4)*$R74)/($X74+$AD74)))</f>
        <v>-</v>
      </c>
    </row>
    <row r="75" spans="3:41" ht="20.100000000000001" customHeight="1" thickBot="1" x14ac:dyDescent="0.3">
      <c r="C75" s="119">
        <v>8</v>
      </c>
      <c r="D75" s="55" t="str">
        <f t="shared" si="49"/>
        <v>Windows_Zone 1_U Factor 0.30</v>
      </c>
      <c r="E75" s="11" t="s">
        <v>63</v>
      </c>
      <c r="F75" s="11" t="s">
        <v>21</v>
      </c>
      <c r="G75" s="11" t="s">
        <v>304</v>
      </c>
      <c r="H75" s="11" t="s">
        <v>182</v>
      </c>
      <c r="I75" s="12">
        <v>10</v>
      </c>
      <c r="J75" s="12">
        <v>10</v>
      </c>
      <c r="K75" s="12">
        <f>J75 * (K72/J72)</f>
        <v>937.13214285714275</v>
      </c>
      <c r="L75" s="12">
        <f t="shared" ref="L75:L80" si="60">(R75/Q75)</f>
        <v>7573.8609121311201</v>
      </c>
      <c r="M75" s="132">
        <v>3.261435575039104E-3</v>
      </c>
      <c r="N75" s="71">
        <v>0</v>
      </c>
      <c r="O75" s="73">
        <f>IF(INDEX('Res Measure Mapping'!$R:$R,MATCH($D75,'Res Measure Mapping'!$B:$B,0))="N/A",N75,INDEX('Res Measure Mapping'!$R:$R,MATCH($D75,'Res Measure Mapping'!$B:$B,0)))</f>
        <v>0.21862225270302299</v>
      </c>
      <c r="P75" s="73" t="str">
        <f>INDEX('Res Measure Mapping'!$S:$S,MATCH($D75,'Res Measure Mapping'!$B:$B,0))</f>
        <v>sqft window</v>
      </c>
      <c r="Q75" s="71">
        <f t="shared" ref="Q75:Q80" si="61">O75</f>
        <v>0.21862225270302299</v>
      </c>
      <c r="R75" s="136">
        <f t="shared" si="50"/>
        <v>1655.8145342694779</v>
      </c>
      <c r="S75" s="13">
        <v>0</v>
      </c>
      <c r="T75" s="77">
        <f>IF(INDEX('Res Measure Mapping'!$T:$T,MATCH($D75,'Res Measure Mapping'!$B:$B,0))="N/A",S75,INDEX('Res Measure Mapping'!$T:$T,MATCH($D75,'Res Measure Mapping'!$B:$B,0)))</f>
        <v>25.070000000000004</v>
      </c>
      <c r="U75" s="13">
        <f t="shared" ref="U75:U90" si="62">T75</f>
        <v>25.070000000000004</v>
      </c>
      <c r="V75" s="13">
        <f t="shared" si="54"/>
        <v>0.23758830739195982</v>
      </c>
      <c r="W75" s="13">
        <f t="shared" si="51"/>
        <v>189876.6930671272</v>
      </c>
      <c r="X75" s="14">
        <f t="shared" si="52"/>
        <v>188077.23227259185</v>
      </c>
      <c r="Y75" s="12">
        <v>0</v>
      </c>
      <c r="Z75" s="73">
        <f>IF(INDEX('Res Measure Mapping'!$U:$U,MATCH($D75,'Res Measure Mapping'!$B:$B,0))="N/A",Y75,INDEX('Res Measure Mapping'!$U:$U,MATCH($D75,'Res Measure Mapping'!$B:$B,0)))</f>
        <v>45</v>
      </c>
      <c r="AA75" s="12">
        <f t="shared" ref="AA75:AA90" si="63">Z75</f>
        <v>45</v>
      </c>
      <c r="AB75" s="12">
        <f t="shared" si="48"/>
        <v>37883.3851481128</v>
      </c>
      <c r="AC75" s="12">
        <f t="shared" si="48"/>
        <v>37883.3851481128</v>
      </c>
      <c r="AD75" s="15">
        <f t="shared" si="53"/>
        <v>4956.3058003196757</v>
      </c>
      <c r="AE75" s="13">
        <v>5</v>
      </c>
      <c r="AF75" s="77">
        <f>ROUND(IF(INDEX('Res Measure Mapping'!$V:$V,MATCH($D75,'Res Measure Mapping'!$B:$B,0))="N/A",AE75,INDEX('Res Measure Mapping'!$V:$V,MATCH($D75,'Res Measure Mapping'!$B:$B,0))),0)</f>
        <v>2</v>
      </c>
      <c r="AG75" s="73" t="str">
        <f>INDEX('Res Measure Mapping'!$S:$S,MATCH($D75,'Res Measure Mapping'!$B:$B,0))</f>
        <v>sqft window</v>
      </c>
      <c r="AH75" s="13">
        <f t="shared" ref="AH75:AH84" si="64">AE75</f>
        <v>5</v>
      </c>
      <c r="AI75" s="13">
        <f t="shared" si="59"/>
        <v>37869.304560655597</v>
      </c>
      <c r="AJ75" s="16">
        <f t="shared" si="55"/>
        <v>0.99962831760144577</v>
      </c>
      <c r="AK75" s="16">
        <f t="shared" si="56"/>
        <v>1.1304589120940445</v>
      </c>
      <c r="AL75" s="82">
        <f>IF($B$2="Original",IF($AI75=0,"-",(VLOOKUP(Y75,'APP 2885'!$B$10:$G$54,6)*$R75)/($AI75+$AD75)),IF($AI75=0,"-",(VLOOKUP(AA75,'APP 2885'!$B$10:$G$54,6)*$R75)/($AI75+$AD75)))</f>
        <v>2.3688203749803725</v>
      </c>
      <c r="AM75" s="17">
        <f t="shared" si="57"/>
        <v>4.9646363844536507</v>
      </c>
      <c r="AN75" s="18">
        <f t="shared" si="58"/>
        <v>5.0954669789462486</v>
      </c>
      <c r="AO75" s="108">
        <f>IF($B$2="Original",IF($AI75=0,"-",(VLOOKUP(Y75,'APP 2885'!$B$10:$G$54,4)*$R75)/($X75+$AD75)),IF($AI75=0,"-",(VLOOKUP(AA75,'APP 2885'!$B$10:$G$54,4)*$R75)/($X75+$AD75)))</f>
        <v>0.47776049416454303</v>
      </c>
    </row>
    <row r="76" spans="3:41" ht="20.100000000000001" customHeight="1" thickBot="1" x14ac:dyDescent="0.3">
      <c r="C76" s="119">
        <v>8</v>
      </c>
      <c r="D76" s="55" t="str">
        <f t="shared" si="49"/>
        <v>Windows_Zone 2_U Factor 0.30</v>
      </c>
      <c r="E76" s="3" t="s">
        <v>63</v>
      </c>
      <c r="F76" s="3" t="s">
        <v>23</v>
      </c>
      <c r="G76" s="3" t="s">
        <v>304</v>
      </c>
      <c r="H76" s="3" t="s">
        <v>182</v>
      </c>
      <c r="I76" s="4">
        <v>10</v>
      </c>
      <c r="J76" s="4">
        <v>10</v>
      </c>
      <c r="K76" s="4">
        <f>J76 * (K73 / J73)</f>
        <v>1389.3000000000002</v>
      </c>
      <c r="L76" s="4">
        <f t="shared" si="60"/>
        <v>3493.7727153453125</v>
      </c>
      <c r="M76" s="131">
        <v>1.9900068193276048E-3</v>
      </c>
      <c r="N76" s="70">
        <v>0</v>
      </c>
      <c r="O76" s="70">
        <f>IF(INDEX('Res Measure Mapping'!$R:$R,MATCH($D76,'Res Measure Mapping'!$B:$B,0))="N/A",N76,INDEX('Res Measure Mapping'!$R:$R,MATCH($D76,'Res Measure Mapping'!$B:$B,0)))</f>
        <v>0.28917637020319797</v>
      </c>
      <c r="P76" s="70" t="str">
        <f>INDEX('Res Measure Mapping'!$S:$S,MATCH($D76,'Res Measure Mapping'!$B:$B,0))</f>
        <v>sqft window</v>
      </c>
      <c r="Q76" s="70">
        <f t="shared" si="61"/>
        <v>0.28917637020319797</v>
      </c>
      <c r="R76" s="135">
        <f t="shared" si="50"/>
        <v>1010.3165121385283</v>
      </c>
      <c r="S76" s="5">
        <v>0</v>
      </c>
      <c r="T76" s="76">
        <f>IF(INDEX('Res Measure Mapping'!$T:$T,MATCH($D76,'Res Measure Mapping'!$B:$B,0))="N/A",S76,INDEX('Res Measure Mapping'!$T:$T,MATCH($D76,'Res Measure Mapping'!$B:$B,0)))</f>
        <v>25.070000000000004</v>
      </c>
      <c r="U76" s="5">
        <f t="shared" si="62"/>
        <v>25.070000000000004</v>
      </c>
      <c r="V76" s="5">
        <f t="shared" si="54"/>
        <v>0.31426317991360886</v>
      </c>
      <c r="W76" s="5">
        <f t="shared" si="51"/>
        <v>87588.881973707001</v>
      </c>
      <c r="X76" s="6">
        <f t="shared" si="52"/>
        <v>86490.91785028718</v>
      </c>
      <c r="Y76" s="4">
        <v>0</v>
      </c>
      <c r="Z76" s="70">
        <f>IF(INDEX('Res Measure Mapping'!$U:$U,MATCH($D76,'Res Measure Mapping'!$B:$B,0))="N/A",Y76,INDEX('Res Measure Mapping'!$U:$U,MATCH($D76,'Res Measure Mapping'!$B:$B,0)))</f>
        <v>45</v>
      </c>
      <c r="AA76" s="4">
        <f t="shared" si="63"/>
        <v>45</v>
      </c>
      <c r="AB76" s="4">
        <f t="shared" si="48"/>
        <v>23115.034177259404</v>
      </c>
      <c r="AC76" s="4">
        <f t="shared" si="48"/>
        <v>23115.034177259404</v>
      </c>
      <c r="AD76" s="7">
        <f t="shared" si="53"/>
        <v>3024.1536631275812</v>
      </c>
      <c r="AE76" s="5">
        <v>5</v>
      </c>
      <c r="AF76" s="76">
        <f>ROUND(IF(INDEX('Res Measure Mapping'!$V:$V,MATCH($D76,'Res Measure Mapping'!$B:$B,0))="N/A",AE76,INDEX('Res Measure Mapping'!$V:$V,MATCH($D76,'Res Measure Mapping'!$B:$B,0))),0)</f>
        <v>2</v>
      </c>
      <c r="AG76" s="70" t="str">
        <f>INDEX('Res Measure Mapping'!$S:$S,MATCH($D76,'Res Measure Mapping'!$B:$B,0))</f>
        <v>sqft window</v>
      </c>
      <c r="AH76" s="5">
        <f t="shared" si="64"/>
        <v>5</v>
      </c>
      <c r="AI76" s="5">
        <f t="shared" si="59"/>
        <v>17468.863576726562</v>
      </c>
      <c r="AJ76" s="8">
        <f t="shared" si="55"/>
        <v>0.75573600466108981</v>
      </c>
      <c r="AK76" s="8">
        <f t="shared" si="56"/>
        <v>0.8865665991536883</v>
      </c>
      <c r="AL76" s="81">
        <f>IF($B$2="Original",IF($AI76=0,"-",(VLOOKUP(Y76,'APP 2885'!$B$10:$G$54,6)*$R76)/($AI76+$AD76)),IF($AI76=0,"-",(VLOOKUP(AA76,'APP 2885'!$B$10:$G$54,6)*$R76)/($AI76+$AD76)))</f>
        <v>3.0204770928690343</v>
      </c>
      <c r="AM76" s="9">
        <f t="shared" si="57"/>
        <v>3.741760327370705</v>
      </c>
      <c r="AN76" s="10">
        <f t="shared" si="58"/>
        <v>3.8725909218633037</v>
      </c>
      <c r="AO76" s="107">
        <f>IF($B$2="Original",IF($AI76=0,"-",(VLOOKUP(Y76,'APP 2885'!$B$10:$G$54,4)*$R76)/($X76+$AD76)),IF($AI76=0,"-",(VLOOKUP(AA76,'APP 2885'!$B$10:$G$54,4)*$R76)/($X76+$AD76)))</f>
        <v>0.62862638243472135</v>
      </c>
    </row>
    <row r="77" spans="3:41" ht="20.100000000000001" customHeight="1" thickBot="1" x14ac:dyDescent="0.3">
      <c r="C77" s="119">
        <v>8</v>
      </c>
      <c r="D77" s="55" t="str">
        <f t="shared" si="49"/>
        <v>Windows_Zone 3_U Factor 0.30</v>
      </c>
      <c r="E77" s="11" t="s">
        <v>63</v>
      </c>
      <c r="F77" s="11" t="s">
        <v>24</v>
      </c>
      <c r="G77" s="11" t="s">
        <v>304</v>
      </c>
      <c r="H77" s="11" t="s">
        <v>182</v>
      </c>
      <c r="I77" s="12">
        <v>10</v>
      </c>
      <c r="J77" s="12">
        <v>10</v>
      </c>
      <c r="K77" s="12">
        <f>J77 * (K74/J74)</f>
        <v>933.87272727272727</v>
      </c>
      <c r="L77" s="12">
        <f t="shared" si="60"/>
        <v>6941.9229792011784</v>
      </c>
      <c r="M77" s="132">
        <v>3.9540276925232017E-3</v>
      </c>
      <c r="N77" s="71">
        <v>0</v>
      </c>
      <c r="O77" s="73">
        <f>IF(INDEX('Res Measure Mapping'!$R:$R,MATCH($D77,'Res Measure Mapping'!$B:$B,0))="N/A",N77,INDEX('Res Measure Mapping'!$R:$R,MATCH($D77,'Res Measure Mapping'!$B:$B,0)))</f>
        <v>0.28917637020319797</v>
      </c>
      <c r="P77" s="73" t="str">
        <f>INDEX('Res Measure Mapping'!$S:$S,MATCH($D77,'Res Measure Mapping'!$B:$B,0))</f>
        <v>sqft window</v>
      </c>
      <c r="Q77" s="71">
        <f t="shared" si="61"/>
        <v>0.28917637020319797</v>
      </c>
      <c r="R77" s="136">
        <f t="shared" si="50"/>
        <v>2007.4400893555669</v>
      </c>
      <c r="S77" s="13">
        <v>0</v>
      </c>
      <c r="T77" s="77">
        <f>IF(INDEX('Res Measure Mapping'!$T:$T,MATCH($D77,'Res Measure Mapping'!$B:$B,0))="N/A",S77,INDEX('Res Measure Mapping'!$T:$T,MATCH($D77,'Res Measure Mapping'!$B:$B,0)))</f>
        <v>25.070000000000004</v>
      </c>
      <c r="U77" s="13">
        <f t="shared" si="62"/>
        <v>25.070000000000004</v>
      </c>
      <c r="V77" s="13">
        <f t="shared" si="54"/>
        <v>0.31426317991360886</v>
      </c>
      <c r="W77" s="13">
        <f t="shared" si="51"/>
        <v>174034.00908857357</v>
      </c>
      <c r="X77" s="14">
        <f t="shared" si="52"/>
        <v>171852.41829841444</v>
      </c>
      <c r="Y77" s="12">
        <v>0</v>
      </c>
      <c r="Z77" s="73">
        <f>IF(INDEX('Res Measure Mapping'!$U:$U,MATCH($D77,'Res Measure Mapping'!$B:$B,0))="N/A",Y77,INDEX('Res Measure Mapping'!$U:$U,MATCH($D77,'Res Measure Mapping'!$B:$B,0)))</f>
        <v>45</v>
      </c>
      <c r="AA77" s="12">
        <f t="shared" si="63"/>
        <v>45</v>
      </c>
      <c r="AB77" s="12">
        <f t="shared" si="48"/>
        <v>45928.22716124454</v>
      </c>
      <c r="AC77" s="12">
        <f t="shared" si="48"/>
        <v>45928.22716124454</v>
      </c>
      <c r="AD77" s="15">
        <f t="shared" si="53"/>
        <v>6008.8172634967341</v>
      </c>
      <c r="AE77" s="13">
        <v>5</v>
      </c>
      <c r="AF77" s="77">
        <f>ROUND(IF(INDEX('Res Measure Mapping'!$V:$V,MATCH($D77,'Res Measure Mapping'!$B:$B,0))="N/A",AE77,INDEX('Res Measure Mapping'!$V:$V,MATCH($D77,'Res Measure Mapping'!$B:$B,0))),0)</f>
        <v>2</v>
      </c>
      <c r="AG77" s="73" t="str">
        <f>INDEX('Res Measure Mapping'!$S:$S,MATCH($D77,'Res Measure Mapping'!$B:$B,0))</f>
        <v>sqft window</v>
      </c>
      <c r="AH77" s="13">
        <f t="shared" si="64"/>
        <v>5</v>
      </c>
      <c r="AI77" s="13">
        <f t="shared" si="59"/>
        <v>34709.614896005893</v>
      </c>
      <c r="AJ77" s="16">
        <f t="shared" si="55"/>
        <v>0.7557360046610897</v>
      </c>
      <c r="AK77" s="16">
        <f t="shared" si="56"/>
        <v>0.8865665991536883</v>
      </c>
      <c r="AL77" s="82">
        <f>IF($B$2="Original",IF($AI77=0,"-",(VLOOKUP(Y77,'APP 2885'!$B$10:$G$54,6)*$R77)/($AI77+$AD77)),IF($AI77=0,"-",(VLOOKUP(AA77,'APP 2885'!$B$10:$G$54,6)*$R77)/($AI77+$AD77)))</f>
        <v>3.0204770928690339</v>
      </c>
      <c r="AM77" s="17">
        <f t="shared" si="57"/>
        <v>3.7417603273707041</v>
      </c>
      <c r="AN77" s="18">
        <f t="shared" si="58"/>
        <v>3.8725909218633032</v>
      </c>
      <c r="AO77" s="108">
        <f>IF($B$2="Original",IF($AI77=0,"-",(VLOOKUP(Y77,'APP 2885'!$B$10:$G$54,4)*$R77)/($X77+$AD77)),IF($AI77=0,"-",(VLOOKUP(AA77,'APP 2885'!$B$10:$G$54,4)*$R77)/($X77+$AD77)))</f>
        <v>0.62862638243472146</v>
      </c>
    </row>
    <row r="78" spans="3:41" ht="20.100000000000001" customHeight="1" thickBot="1" x14ac:dyDescent="0.3">
      <c r="C78" s="119">
        <v>22</v>
      </c>
      <c r="D78" s="55" t="str">
        <f t="shared" si="49"/>
        <v>Windows_Zone 1_U Factor 0.22</v>
      </c>
      <c r="E78" s="3" t="s">
        <v>63</v>
      </c>
      <c r="F78" s="3" t="s">
        <v>21</v>
      </c>
      <c r="G78" s="3" t="s">
        <v>305</v>
      </c>
      <c r="H78" s="3" t="s">
        <v>306</v>
      </c>
      <c r="I78" s="4">
        <v>10</v>
      </c>
      <c r="J78" s="4">
        <v>10</v>
      </c>
      <c r="K78" s="4">
        <f>J78 * (K75/J75)</f>
        <v>937.13214285714275</v>
      </c>
      <c r="L78" s="4">
        <f t="shared" si="60"/>
        <v>7576.4329646550477</v>
      </c>
      <c r="M78" s="131">
        <v>3.9316164420471816E-3</v>
      </c>
      <c r="N78" s="70">
        <v>0</v>
      </c>
      <c r="O78" s="70">
        <f>IF(INDEX('Res Measure Mapping'!$R:$R,MATCH($D78,'Res Measure Mapping'!$B:$B,0))="N/A",N78,INDEX('Res Measure Mapping'!$R:$R,MATCH($D78,'Res Measure Mapping'!$B:$B,0)))</f>
        <v>0.26345669774378105</v>
      </c>
      <c r="P78" s="70" t="str">
        <f>INDEX('Res Measure Mapping'!$S:$S,MATCH($D78,'Res Measure Mapping'!$B:$B,0))</f>
        <v>sqft window</v>
      </c>
      <c r="Q78" s="70">
        <f t="shared" si="61"/>
        <v>0.26345669774378105</v>
      </c>
      <c r="R78" s="135">
        <f t="shared" si="50"/>
        <v>1996.0620095451438</v>
      </c>
      <c r="S78" s="5">
        <v>0</v>
      </c>
      <c r="T78" s="76">
        <f>IF(INDEX('Res Measure Mapping'!$T:$T,MATCH($D78,'Res Measure Mapping'!$B:$B,0))="N/A",S78,INDEX('Res Measure Mapping'!$T:$T,MATCH($D78,'Res Measure Mapping'!$B:$B,0)))</f>
        <v>29.12</v>
      </c>
      <c r="U78" s="5">
        <f t="shared" si="62"/>
        <v>29.12</v>
      </c>
      <c r="V78" s="5">
        <f t="shared" si="54"/>
        <v>0.28631225830907647</v>
      </c>
      <c r="W78" s="5">
        <f t="shared" si="51"/>
        <v>220625.72793075501</v>
      </c>
      <c r="X78" s="6">
        <f t="shared" si="52"/>
        <v>218456.5022987173</v>
      </c>
      <c r="Y78" s="4">
        <v>0</v>
      </c>
      <c r="Z78" s="70">
        <f>IF(INDEX('Res Measure Mapping'!$U:$U,MATCH($D78,'Res Measure Mapping'!$B:$B,0))="N/A",Y78,INDEX('Res Measure Mapping'!$U:$U,MATCH($D78,'Res Measure Mapping'!$B:$B,0)))</f>
        <v>45</v>
      </c>
      <c r="AA78" s="4">
        <f t="shared" si="63"/>
        <v>45</v>
      </c>
      <c r="AB78" s="4">
        <f t="shared" si="48"/>
        <v>45667.908042899326</v>
      </c>
      <c r="AC78" s="4">
        <f t="shared" si="48"/>
        <v>45667.908042899326</v>
      </c>
      <c r="AD78" s="7">
        <f t="shared" si="53"/>
        <v>5974.7595584858409</v>
      </c>
      <c r="AE78" s="5">
        <v>0</v>
      </c>
      <c r="AF78" s="76">
        <f>ROUND(IF(INDEX('Res Measure Mapping'!$V:$V,MATCH($D78,'Res Measure Mapping'!$B:$B,0))="N/A",AE78,INDEX('Res Measure Mapping'!$V:$V,MATCH($D78,'Res Measure Mapping'!$B:$B,0))),0)</f>
        <v>2</v>
      </c>
      <c r="AG78" s="70" t="str">
        <f>INDEX('Res Measure Mapping'!$S:$S,MATCH($D78,'Res Measure Mapping'!$B:$B,0))</f>
        <v>sqft window</v>
      </c>
      <c r="AH78" s="5">
        <v>9</v>
      </c>
      <c r="AI78" s="5">
        <f t="shared" si="59"/>
        <v>68187.896681895436</v>
      </c>
      <c r="AJ78" s="8">
        <f t="shared" si="55"/>
        <v>1.4931250325248395</v>
      </c>
      <c r="AK78" s="8">
        <f t="shared" si="56"/>
        <v>1.623955627017438</v>
      </c>
      <c r="AL78" s="81">
        <f>IF($B$2="Original",IF($AI78=0,"-",(VLOOKUP(Y78,'APP 2885'!$B$10:$G$54,6)*$R78)/($AI78+$AD78)),IF($AI78=0,"-",(VLOOKUP(AA78,'APP 2885'!$B$10:$G$54,6)*$R78)/($AI78+$AD78)))</f>
        <v>1.6489699961597313</v>
      </c>
      <c r="AM78" s="9">
        <f t="shared" si="57"/>
        <v>4.7835889941248144</v>
      </c>
      <c r="AN78" s="10">
        <f t="shared" si="58"/>
        <v>4.9144195886174131</v>
      </c>
      <c r="AO78" s="107">
        <f>IF($B$2="Original",IF($AI78=0,"-",(VLOOKUP(Y78,'APP 2885'!$B$10:$G$54,4)*$R78)/($X78+$AD78)),IF($AI78=0,"-",(VLOOKUP(AA78,'APP 2885'!$B$10:$G$54,4)*$R78)/($X78+$AD78)))</f>
        <v>0.49536120755723895</v>
      </c>
    </row>
    <row r="79" spans="3:41" ht="20.100000000000001" customHeight="1" thickBot="1" x14ac:dyDescent="0.3">
      <c r="C79" s="119">
        <v>22</v>
      </c>
      <c r="D79" s="55" t="str">
        <f t="shared" si="49"/>
        <v>Windows_Zone 2_U Factor 0.22</v>
      </c>
      <c r="E79" s="11" t="s">
        <v>63</v>
      </c>
      <c r="F79" s="11" t="s">
        <v>23</v>
      </c>
      <c r="G79" s="11" t="s">
        <v>305</v>
      </c>
      <c r="H79" s="11" t="s">
        <v>306</v>
      </c>
      <c r="I79" s="12">
        <v>10</v>
      </c>
      <c r="J79" s="12">
        <v>10</v>
      </c>
      <c r="K79" s="12">
        <f>J79 * (K76 / J76)</f>
        <v>1389.3000000000002</v>
      </c>
      <c r="L79" s="12">
        <f t="shared" si="60"/>
        <v>3494.2878561323046</v>
      </c>
      <c r="M79" s="132">
        <v>2.4051859197453725E-3</v>
      </c>
      <c r="N79" s="71">
        <v>0</v>
      </c>
      <c r="O79" s="73">
        <f>IF(INDEX('Res Measure Mapping'!$R:$R,MATCH($D79,'Res Measure Mapping'!$B:$B,0))="N/A",N79,INDEX('Res Measure Mapping'!$R:$R,MATCH($D79,'Res Measure Mapping'!$B:$B,0)))</f>
        <v>0.34945628860603301</v>
      </c>
      <c r="P79" s="73" t="str">
        <f>INDEX('Res Measure Mapping'!$S:$S,MATCH($D79,'Res Measure Mapping'!$B:$B,0))</f>
        <v>sqft window</v>
      </c>
      <c r="Q79" s="71">
        <f t="shared" si="61"/>
        <v>0.34945628860603301</v>
      </c>
      <c r="R79" s="136">
        <f t="shared" si="50"/>
        <v>1221.1008655251269</v>
      </c>
      <c r="S79" s="13">
        <v>0</v>
      </c>
      <c r="T79" s="77">
        <f>IF(INDEX('Res Measure Mapping'!$T:$T,MATCH($D79,'Res Measure Mapping'!$B:$B,0))="N/A",S79,INDEX('Res Measure Mapping'!$T:$T,MATCH($D79,'Res Measure Mapping'!$B:$B,0)))</f>
        <v>29.12</v>
      </c>
      <c r="U79" s="13">
        <f t="shared" si="62"/>
        <v>29.12</v>
      </c>
      <c r="V79" s="13">
        <f t="shared" si="54"/>
        <v>0.37977253957842677</v>
      </c>
      <c r="W79" s="13">
        <f t="shared" si="51"/>
        <v>101753.66237057271</v>
      </c>
      <c r="X79" s="14">
        <f t="shared" si="52"/>
        <v>100426.62779743128</v>
      </c>
      <c r="Y79" s="12">
        <v>0</v>
      </c>
      <c r="Z79" s="73">
        <f>IF(INDEX('Res Measure Mapping'!$U:$U,MATCH($D79,'Res Measure Mapping'!$B:$B,0))="N/A",Y79,INDEX('Res Measure Mapping'!$U:$U,MATCH($D79,'Res Measure Mapping'!$B:$B,0)))</f>
        <v>45</v>
      </c>
      <c r="AA79" s="12">
        <f t="shared" si="63"/>
        <v>45</v>
      </c>
      <c r="AB79" s="12">
        <f t="shared" si="48"/>
        <v>27937.569960872032</v>
      </c>
      <c r="AC79" s="12">
        <f t="shared" si="48"/>
        <v>27937.569960872032</v>
      </c>
      <c r="AD79" s="15">
        <f t="shared" si="53"/>
        <v>3655.0888866594501</v>
      </c>
      <c r="AE79" s="13">
        <v>0</v>
      </c>
      <c r="AF79" s="77">
        <f>ROUND(IF(INDEX('Res Measure Mapping'!$V:$V,MATCH($D79,'Res Measure Mapping'!$B:$B,0))="N/A",AE79,INDEX('Res Measure Mapping'!$V:$V,MATCH($D79,'Res Measure Mapping'!$B:$B,0))),0)</f>
        <v>2</v>
      </c>
      <c r="AG79" s="73" t="str">
        <f>INDEX('Res Measure Mapping'!$S:$S,MATCH($D79,'Res Measure Mapping'!$B:$B,0))</f>
        <v>sqft window</v>
      </c>
      <c r="AH79" s="13">
        <v>9</v>
      </c>
      <c r="AI79" s="13">
        <f t="shared" si="59"/>
        <v>31448.590705190742</v>
      </c>
      <c r="AJ79" s="16">
        <f t="shared" si="55"/>
        <v>1.1256738058906366</v>
      </c>
      <c r="AK79" s="16">
        <f t="shared" si="56"/>
        <v>1.2565044003832349</v>
      </c>
      <c r="AL79" s="82">
        <f>IF($B$2="Original",IF($AI79=0,"-",(VLOOKUP(Y79,'APP 2885'!$B$10:$G$54,6)*$R79)/($AI79+$AD79)),IF($AI79=0,"-",(VLOOKUP(AA79,'APP 2885'!$B$10:$G$54,6)*$R79)/($AI79+$AD79)))</f>
        <v>2.1311935741966126</v>
      </c>
      <c r="AM79" s="17">
        <f t="shared" si="57"/>
        <v>3.5946801363928151</v>
      </c>
      <c r="AN79" s="18">
        <f t="shared" si="58"/>
        <v>3.7255107308854134</v>
      </c>
      <c r="AO79" s="108">
        <f>IF($B$2="Original",IF($AI79=0,"-",(VLOOKUP(Y79,'APP 2885'!$B$10:$G$54,4)*$R79)/($X79+$AD79)),IF($AI79=0,"-",(VLOOKUP(AA79,'APP 2885'!$B$10:$G$54,4)*$R79)/($X79+$AD79)))</f>
        <v>0.65344405041665332</v>
      </c>
    </row>
    <row r="80" spans="3:41" ht="20.100000000000001" customHeight="1" thickBot="1" x14ac:dyDescent="0.3">
      <c r="C80" s="119">
        <v>22</v>
      </c>
      <c r="D80" s="55" t="str">
        <f t="shared" si="49"/>
        <v>Windows_Zone 3_U Factor 0.22</v>
      </c>
      <c r="E80" s="3" t="s">
        <v>63</v>
      </c>
      <c r="F80" s="3" t="s">
        <v>24</v>
      </c>
      <c r="G80" s="3" t="s">
        <v>305</v>
      </c>
      <c r="H80" s="3" t="s">
        <v>306</v>
      </c>
      <c r="I80" s="4">
        <v>10</v>
      </c>
      <c r="J80" s="4">
        <v>10</v>
      </c>
      <c r="K80" s="4">
        <f>J80 * (K77/J77)</f>
        <v>933.87272727272727</v>
      </c>
      <c r="L80" s="4">
        <f t="shared" si="60"/>
        <v>6943.4003265077026</v>
      </c>
      <c r="M80" s="131">
        <v>4.779276747667989E-3</v>
      </c>
      <c r="N80" s="70">
        <v>0</v>
      </c>
      <c r="O80" s="70">
        <f>IF(INDEX('Res Measure Mapping'!$R:$R,MATCH($D80,'Res Measure Mapping'!$B:$B,0))="N/A",N80,INDEX('Res Measure Mapping'!$R:$R,MATCH($D80,'Res Measure Mapping'!$B:$B,0)))</f>
        <v>0.34945628860603301</v>
      </c>
      <c r="P80" s="70" t="str">
        <f>INDEX('Res Measure Mapping'!$S:$S,MATCH($D80,'Res Measure Mapping'!$B:$B,0))</f>
        <v>sqft window</v>
      </c>
      <c r="Q80" s="70">
        <f t="shared" si="61"/>
        <v>0.34945628860603301</v>
      </c>
      <c r="R80" s="135">
        <f t="shared" si="50"/>
        <v>2426.4149084072997</v>
      </c>
      <c r="S80" s="5">
        <v>0</v>
      </c>
      <c r="T80" s="76">
        <f>IF(INDEX('Res Measure Mapping'!$T:$T,MATCH($D80,'Res Measure Mapping'!$B:$B,0))="N/A",S80,INDEX('Res Measure Mapping'!$T:$T,MATCH($D80,'Res Measure Mapping'!$B:$B,0)))</f>
        <v>29.12</v>
      </c>
      <c r="U80" s="5">
        <f t="shared" si="62"/>
        <v>29.12</v>
      </c>
      <c r="V80" s="5">
        <f t="shared" si="54"/>
        <v>0.37977253957842677</v>
      </c>
      <c r="W80" s="5">
        <f t="shared" si="51"/>
        <v>202191.81750790431</v>
      </c>
      <c r="X80" s="6">
        <f t="shared" si="52"/>
        <v>199554.9047325968</v>
      </c>
      <c r="Y80" s="4">
        <v>0</v>
      </c>
      <c r="Z80" s="70">
        <f>IF(INDEX('Res Measure Mapping'!$U:$U,MATCH($D80,'Res Measure Mapping'!$B:$B,0))="N/A",Y80,INDEX('Res Measure Mapping'!$U:$U,MATCH($D80,'Res Measure Mapping'!$B:$B,0)))</f>
        <v>45</v>
      </c>
      <c r="AA80" s="4">
        <f t="shared" si="63"/>
        <v>45</v>
      </c>
      <c r="AB80" s="4">
        <f t="shared" si="48"/>
        <v>55513.953164368584</v>
      </c>
      <c r="AC80" s="4">
        <f t="shared" si="48"/>
        <v>55513.953164368584</v>
      </c>
      <c r="AD80" s="7">
        <f t="shared" si="53"/>
        <v>7262.9234951286126</v>
      </c>
      <c r="AE80" s="5">
        <v>0</v>
      </c>
      <c r="AF80" s="76">
        <f>ROUND(IF(INDEX('Res Measure Mapping'!$V:$V,MATCH($D80,'Res Measure Mapping'!$B:$B,0))="N/A",AE80,INDEX('Res Measure Mapping'!$V:$V,MATCH($D80,'Res Measure Mapping'!$B:$B,0))),0)</f>
        <v>2</v>
      </c>
      <c r="AG80" s="70" t="str">
        <f>INDEX('Res Measure Mapping'!$S:$S,MATCH($D80,'Res Measure Mapping'!$B:$B,0))</f>
        <v>sqft window</v>
      </c>
      <c r="AH80" s="5">
        <v>9</v>
      </c>
      <c r="AI80" s="5">
        <f t="shared" si="59"/>
        <v>62490.602938569325</v>
      </c>
      <c r="AJ80" s="8">
        <f t="shared" si="55"/>
        <v>1.1256738058906364</v>
      </c>
      <c r="AK80" s="8">
        <f t="shared" si="56"/>
        <v>1.2565044003832349</v>
      </c>
      <c r="AL80" s="81">
        <f>IF($B$2="Original",IF($AI80=0,"-",(VLOOKUP(Y80,'APP 2885'!$B$10:$G$54,6)*$R80)/($AI80+$AD80)),IF($AI80=0,"-",(VLOOKUP(AA80,'APP 2885'!$B$10:$G$54,6)*$R80)/($AI80+$AD80)))</f>
        <v>2.131193574196613</v>
      </c>
      <c r="AM80" s="9">
        <f t="shared" si="57"/>
        <v>3.5946801363928147</v>
      </c>
      <c r="AN80" s="10">
        <f t="shared" si="58"/>
        <v>3.7255107308854134</v>
      </c>
      <c r="AO80" s="107">
        <f>IF($B$2="Original",IF($AI80=0,"-",(VLOOKUP(Y80,'APP 2885'!$B$10:$G$54,4)*$R80)/($X80+$AD80)),IF($AI80=0,"-",(VLOOKUP(AA80,'APP 2885'!$B$10:$G$54,4)*$R80)/($X80+$AD80)))</f>
        <v>0.65344405041665332</v>
      </c>
    </row>
    <row r="81" spans="2:41" ht="20.100000000000001" customHeight="1" thickBot="1" x14ac:dyDescent="0.3">
      <c r="C81" s="119" t="s">
        <v>125</v>
      </c>
      <c r="D81" s="55" t="str">
        <f t="shared" si="49"/>
        <v>Bundle A_Zone 1_</v>
      </c>
      <c r="E81" s="11" t="s">
        <v>29</v>
      </c>
      <c r="F81" s="11" t="s">
        <v>21</v>
      </c>
      <c r="G81" s="11"/>
      <c r="H81" s="11"/>
      <c r="I81" s="12">
        <v>88</v>
      </c>
      <c r="J81" s="12">
        <v>88</v>
      </c>
      <c r="K81" s="12"/>
      <c r="L81" s="12">
        <v>88</v>
      </c>
      <c r="M81" s="132">
        <v>0</v>
      </c>
      <c r="N81" s="71">
        <v>0</v>
      </c>
      <c r="O81" s="73">
        <f>IF(INDEX('Res Measure Mapping'!$R:$R,MATCH($D81,'Res Measure Mapping'!$B:$B,0))="N/A",N81,INDEX('Res Measure Mapping'!$R:$R,MATCH($D81,'Res Measure Mapping'!$B:$B,0)))</f>
        <v>0</v>
      </c>
      <c r="P81" s="73" t="str">
        <f>INDEX('Res Measure Mapping'!$S:$S,MATCH($D81,'Res Measure Mapping'!$B:$B,0))</f>
        <v>N/A</v>
      </c>
      <c r="Q81" s="71">
        <f>N81</f>
        <v>0</v>
      </c>
      <c r="R81" s="136">
        <f t="shared" si="50"/>
        <v>0</v>
      </c>
      <c r="S81" s="13">
        <v>0</v>
      </c>
      <c r="T81" s="77">
        <f>IF(INDEX('Res Measure Mapping'!$T:$T,MATCH($D81,'Res Measure Mapping'!$B:$B,0))="N/A",S81,INDEX('Res Measure Mapping'!$T:$T,MATCH($D81,'Res Measure Mapping'!$B:$B,0)))</f>
        <v>0</v>
      </c>
      <c r="U81" s="13">
        <f t="shared" si="62"/>
        <v>0</v>
      </c>
      <c r="V81" s="13">
        <f t="shared" si="54"/>
        <v>0</v>
      </c>
      <c r="W81" s="13">
        <f t="shared" si="51"/>
        <v>0</v>
      </c>
      <c r="X81" s="14">
        <f t="shared" si="52"/>
        <v>0</v>
      </c>
      <c r="Y81" s="12">
        <v>0</v>
      </c>
      <c r="Z81" s="73">
        <f>IF(INDEX('Res Measure Mapping'!$U:$U,MATCH($D81,'Res Measure Mapping'!$B:$B,0))="N/A",Y81,INDEX('Res Measure Mapping'!$U:$U,MATCH($D81,'Res Measure Mapping'!$B:$B,0)))</f>
        <v>0</v>
      </c>
      <c r="AA81" s="12">
        <f t="shared" si="63"/>
        <v>0</v>
      </c>
      <c r="AB81" s="12">
        <f t="shared" si="48"/>
        <v>0</v>
      </c>
      <c r="AC81" s="12">
        <f t="shared" si="48"/>
        <v>0</v>
      </c>
      <c r="AD81" s="15">
        <f t="shared" si="53"/>
        <v>0</v>
      </c>
      <c r="AE81" s="13">
        <v>250</v>
      </c>
      <c r="AF81" s="77" t="s">
        <v>125</v>
      </c>
      <c r="AG81" s="73" t="str">
        <f>INDEX('Res Measure Mapping'!$S:$S,MATCH($D81,'Res Measure Mapping'!$B:$B,0))</f>
        <v>N/A</v>
      </c>
      <c r="AH81" s="13">
        <f t="shared" si="64"/>
        <v>250</v>
      </c>
      <c r="AI81" s="13">
        <f t="shared" si="59"/>
        <v>22000</v>
      </c>
      <c r="AJ81" s="16">
        <f t="shared" si="55"/>
        <v>0</v>
      </c>
      <c r="AK81" s="16">
        <f t="shared" si="56"/>
        <v>0</v>
      </c>
      <c r="AL81" s="82" t="s">
        <v>325</v>
      </c>
      <c r="AM81" s="17">
        <f t="shared" si="57"/>
        <v>0</v>
      </c>
      <c r="AN81" s="18">
        <f t="shared" si="58"/>
        <v>0</v>
      </c>
      <c r="AO81" s="108" t="s">
        <v>325</v>
      </c>
    </row>
    <row r="82" spans="2:41" ht="20.100000000000001" customHeight="1" thickBot="1" x14ac:dyDescent="0.3">
      <c r="C82" s="119" t="s">
        <v>125</v>
      </c>
      <c r="D82" s="55" t="str">
        <f t="shared" si="49"/>
        <v>Bundle A_Zone 2_</v>
      </c>
      <c r="E82" s="3" t="s">
        <v>29</v>
      </c>
      <c r="F82" s="3" t="s">
        <v>23</v>
      </c>
      <c r="G82" s="3"/>
      <c r="H82" s="3"/>
      <c r="I82" s="4">
        <v>21</v>
      </c>
      <c r="J82" s="4">
        <v>21</v>
      </c>
      <c r="K82" s="4"/>
      <c r="L82" s="4">
        <v>21</v>
      </c>
      <c r="M82" s="131">
        <v>0</v>
      </c>
      <c r="N82" s="70">
        <v>0</v>
      </c>
      <c r="O82" s="70">
        <f>IF(INDEX('Res Measure Mapping'!$R:$R,MATCH($D82,'Res Measure Mapping'!$B:$B,0))="N/A",N82,INDEX('Res Measure Mapping'!$R:$R,MATCH($D82,'Res Measure Mapping'!$B:$B,0)))</f>
        <v>0</v>
      </c>
      <c r="P82" s="70" t="str">
        <f>INDEX('Res Measure Mapping'!$S:$S,MATCH($D82,'Res Measure Mapping'!$B:$B,0))</f>
        <v>N/A</v>
      </c>
      <c r="Q82" s="70">
        <f>N82</f>
        <v>0</v>
      </c>
      <c r="R82" s="135">
        <f t="shared" si="50"/>
        <v>0</v>
      </c>
      <c r="S82" s="5">
        <v>0</v>
      </c>
      <c r="T82" s="76">
        <f>IF(INDEX('Res Measure Mapping'!$T:$T,MATCH($D82,'Res Measure Mapping'!$B:$B,0))="N/A",S82,INDEX('Res Measure Mapping'!$T:$T,MATCH($D82,'Res Measure Mapping'!$B:$B,0)))</f>
        <v>0</v>
      </c>
      <c r="U82" s="5">
        <f t="shared" si="62"/>
        <v>0</v>
      </c>
      <c r="V82" s="5">
        <f t="shared" si="54"/>
        <v>0</v>
      </c>
      <c r="W82" s="5">
        <f t="shared" si="51"/>
        <v>0</v>
      </c>
      <c r="X82" s="6">
        <f t="shared" si="52"/>
        <v>0</v>
      </c>
      <c r="Y82" s="4">
        <v>0</v>
      </c>
      <c r="Z82" s="70">
        <f>IF(INDEX('Res Measure Mapping'!$U:$U,MATCH($D82,'Res Measure Mapping'!$B:$B,0))="N/A",Y82,INDEX('Res Measure Mapping'!$U:$U,MATCH($D82,'Res Measure Mapping'!$B:$B,0)))</f>
        <v>0</v>
      </c>
      <c r="AA82" s="4">
        <f t="shared" si="63"/>
        <v>0</v>
      </c>
      <c r="AB82" s="4">
        <f t="shared" si="48"/>
        <v>0</v>
      </c>
      <c r="AC82" s="4">
        <f t="shared" si="48"/>
        <v>0</v>
      </c>
      <c r="AD82" s="7">
        <f t="shared" si="53"/>
        <v>0</v>
      </c>
      <c r="AE82" s="5">
        <v>250</v>
      </c>
      <c r="AF82" s="76" t="s">
        <v>125</v>
      </c>
      <c r="AG82" s="70" t="str">
        <f>INDEX('Res Measure Mapping'!$S:$S,MATCH($D82,'Res Measure Mapping'!$B:$B,0))</f>
        <v>N/A</v>
      </c>
      <c r="AH82" s="5">
        <f t="shared" si="64"/>
        <v>250</v>
      </c>
      <c r="AI82" s="5">
        <f t="shared" si="59"/>
        <v>5250</v>
      </c>
      <c r="AJ82" s="8">
        <f t="shared" si="55"/>
        <v>0</v>
      </c>
      <c r="AK82" s="8">
        <f t="shared" si="56"/>
        <v>0</v>
      </c>
      <c r="AL82" s="81" t="s">
        <v>325</v>
      </c>
      <c r="AM82" s="9">
        <f t="shared" si="57"/>
        <v>0</v>
      </c>
      <c r="AN82" s="10">
        <f t="shared" si="58"/>
        <v>0</v>
      </c>
      <c r="AO82" s="107" t="s">
        <v>325</v>
      </c>
    </row>
    <row r="83" spans="2:41" ht="20.100000000000001" customHeight="1" thickBot="1" x14ac:dyDescent="0.3">
      <c r="C83" s="119" t="s">
        <v>125</v>
      </c>
      <c r="D83" s="55" t="str">
        <f t="shared" si="49"/>
        <v>Bundle A_Zone 3_</v>
      </c>
      <c r="E83" s="11" t="s">
        <v>29</v>
      </c>
      <c r="F83" s="11" t="s">
        <v>24</v>
      </c>
      <c r="G83" s="11"/>
      <c r="H83" s="11"/>
      <c r="I83" s="12">
        <v>33</v>
      </c>
      <c r="J83" s="12">
        <v>33</v>
      </c>
      <c r="K83" s="12"/>
      <c r="L83" s="12">
        <v>33</v>
      </c>
      <c r="M83" s="132">
        <v>0</v>
      </c>
      <c r="N83" s="71">
        <v>0</v>
      </c>
      <c r="O83" s="73">
        <f>IF(INDEX('Res Measure Mapping'!$R:$R,MATCH($D83,'Res Measure Mapping'!$B:$B,0))="N/A",N83,INDEX('Res Measure Mapping'!$R:$R,MATCH($D83,'Res Measure Mapping'!$B:$B,0)))</f>
        <v>0</v>
      </c>
      <c r="P83" s="73" t="str">
        <f>INDEX('Res Measure Mapping'!$S:$S,MATCH($D83,'Res Measure Mapping'!$B:$B,0))</f>
        <v>N/A</v>
      </c>
      <c r="Q83" s="71">
        <f>N83</f>
        <v>0</v>
      </c>
      <c r="R83" s="136">
        <f t="shared" si="50"/>
        <v>0</v>
      </c>
      <c r="S83" s="13">
        <v>0</v>
      </c>
      <c r="T83" s="77">
        <f>IF(INDEX('Res Measure Mapping'!$T:$T,MATCH($D83,'Res Measure Mapping'!$B:$B,0))="N/A",S83,INDEX('Res Measure Mapping'!$T:$T,MATCH($D83,'Res Measure Mapping'!$B:$B,0)))</f>
        <v>0</v>
      </c>
      <c r="U83" s="13">
        <f t="shared" si="62"/>
        <v>0</v>
      </c>
      <c r="V83" s="13">
        <f t="shared" si="54"/>
        <v>0</v>
      </c>
      <c r="W83" s="13">
        <f t="shared" si="51"/>
        <v>0</v>
      </c>
      <c r="X83" s="14">
        <f t="shared" si="52"/>
        <v>0</v>
      </c>
      <c r="Y83" s="12">
        <v>0</v>
      </c>
      <c r="Z83" s="73">
        <f>IF(INDEX('Res Measure Mapping'!$U:$U,MATCH($D83,'Res Measure Mapping'!$B:$B,0))="N/A",Y83,INDEX('Res Measure Mapping'!$U:$U,MATCH($D83,'Res Measure Mapping'!$B:$B,0)))</f>
        <v>0</v>
      </c>
      <c r="AA83" s="12">
        <f t="shared" si="63"/>
        <v>0</v>
      </c>
      <c r="AB83" s="12">
        <f t="shared" si="48"/>
        <v>0</v>
      </c>
      <c r="AC83" s="12">
        <f t="shared" si="48"/>
        <v>0</v>
      </c>
      <c r="AD83" s="15">
        <f t="shared" si="53"/>
        <v>0</v>
      </c>
      <c r="AE83" s="13">
        <v>250</v>
      </c>
      <c r="AF83" s="77" t="s">
        <v>125</v>
      </c>
      <c r="AG83" s="73" t="str">
        <f>INDEX('Res Measure Mapping'!$S:$S,MATCH($D83,'Res Measure Mapping'!$B:$B,0))</f>
        <v>N/A</v>
      </c>
      <c r="AH83" s="13">
        <f t="shared" si="64"/>
        <v>250</v>
      </c>
      <c r="AI83" s="13">
        <f t="shared" si="59"/>
        <v>8250</v>
      </c>
      <c r="AJ83" s="16">
        <f t="shared" si="55"/>
        <v>0</v>
      </c>
      <c r="AK83" s="16">
        <f t="shared" si="56"/>
        <v>0</v>
      </c>
      <c r="AL83" s="82" t="s">
        <v>325</v>
      </c>
      <c r="AM83" s="17">
        <f t="shared" si="57"/>
        <v>0</v>
      </c>
      <c r="AN83" s="18">
        <f t="shared" si="58"/>
        <v>0</v>
      </c>
      <c r="AO83" s="108" t="s">
        <v>325</v>
      </c>
    </row>
    <row r="84" spans="2:41" ht="20.100000000000001" customHeight="1" thickBot="1" x14ac:dyDescent="0.3">
      <c r="C84" s="119" t="s">
        <v>125</v>
      </c>
      <c r="D84" s="55" t="str">
        <f t="shared" si="49"/>
        <v>Bundle B_Zone 1_</v>
      </c>
      <c r="E84" s="3" t="s">
        <v>30</v>
      </c>
      <c r="F84" s="3" t="s">
        <v>21</v>
      </c>
      <c r="G84" s="3"/>
      <c r="H84" s="3"/>
      <c r="I84" s="4">
        <v>16</v>
      </c>
      <c r="J84" s="4">
        <v>16</v>
      </c>
      <c r="K84" s="4"/>
      <c r="L84" s="4">
        <v>16</v>
      </c>
      <c r="M84" s="131">
        <v>0</v>
      </c>
      <c r="N84" s="70">
        <v>0</v>
      </c>
      <c r="O84" s="70">
        <f>IF(INDEX('Res Measure Mapping'!$R:$R,MATCH($D84,'Res Measure Mapping'!$B:$B,0))="N/A",N84,INDEX('Res Measure Mapping'!$R:$R,MATCH($D84,'Res Measure Mapping'!$B:$B,0)))</f>
        <v>0</v>
      </c>
      <c r="P84" s="70" t="str">
        <f>INDEX('Res Measure Mapping'!$S:$S,MATCH($D84,'Res Measure Mapping'!$B:$B,0))</f>
        <v>N/A</v>
      </c>
      <c r="Q84" s="70">
        <f>N84</f>
        <v>0</v>
      </c>
      <c r="R84" s="135">
        <f t="shared" si="50"/>
        <v>0</v>
      </c>
      <c r="S84" s="5">
        <v>0</v>
      </c>
      <c r="T84" s="76">
        <f>IF(INDEX('Res Measure Mapping'!$T:$T,MATCH($D84,'Res Measure Mapping'!$B:$B,0))="N/A",S84,INDEX('Res Measure Mapping'!$T:$T,MATCH($D84,'Res Measure Mapping'!$B:$B,0)))</f>
        <v>0</v>
      </c>
      <c r="U84" s="5">
        <f t="shared" si="62"/>
        <v>0</v>
      </c>
      <c r="V84" s="5">
        <f t="shared" si="54"/>
        <v>0</v>
      </c>
      <c r="W84" s="5">
        <f t="shared" si="51"/>
        <v>0</v>
      </c>
      <c r="X84" s="6">
        <f t="shared" si="52"/>
        <v>0</v>
      </c>
      <c r="Y84" s="4">
        <v>0</v>
      </c>
      <c r="Z84" s="70">
        <f>IF(INDEX('Res Measure Mapping'!$U:$U,MATCH($D84,'Res Measure Mapping'!$B:$B,0))="N/A",Y84,INDEX('Res Measure Mapping'!$U:$U,MATCH($D84,'Res Measure Mapping'!$B:$B,0)))</f>
        <v>0</v>
      </c>
      <c r="AA84" s="4">
        <f t="shared" si="63"/>
        <v>0</v>
      </c>
      <c r="AB84" s="4">
        <f t="shared" si="48"/>
        <v>0</v>
      </c>
      <c r="AC84" s="4">
        <f t="shared" si="48"/>
        <v>0</v>
      </c>
      <c r="AD84" s="7">
        <f t="shared" si="53"/>
        <v>0</v>
      </c>
      <c r="AE84" s="5">
        <v>500</v>
      </c>
      <c r="AF84" s="76" t="s">
        <v>125</v>
      </c>
      <c r="AG84" s="70" t="str">
        <f>INDEX('Res Measure Mapping'!$S:$S,MATCH($D84,'Res Measure Mapping'!$B:$B,0))</f>
        <v>N/A</v>
      </c>
      <c r="AH84" s="5">
        <f t="shared" si="64"/>
        <v>500</v>
      </c>
      <c r="AI84" s="5">
        <f t="shared" si="59"/>
        <v>8000</v>
      </c>
      <c r="AJ84" s="8">
        <f t="shared" si="55"/>
        <v>0</v>
      </c>
      <c r="AK84" s="8">
        <f t="shared" si="56"/>
        <v>0</v>
      </c>
      <c r="AL84" s="81" t="s">
        <v>325</v>
      </c>
      <c r="AM84" s="9">
        <f t="shared" si="57"/>
        <v>0</v>
      </c>
      <c r="AN84" s="10">
        <f t="shared" si="58"/>
        <v>0</v>
      </c>
      <c r="AO84" s="107" t="s">
        <v>325</v>
      </c>
    </row>
    <row r="85" spans="2:41" ht="20.100000000000001" customHeight="1" thickBot="1" x14ac:dyDescent="0.3">
      <c r="C85" s="119">
        <v>17</v>
      </c>
      <c r="D85" s="55" t="str">
        <f t="shared" si="49"/>
        <v>Smart Thermostat_Zone 1_Energy Star Smart Thermostat</v>
      </c>
      <c r="E85" s="11" t="s">
        <v>206</v>
      </c>
      <c r="F85" s="11" t="s">
        <v>21</v>
      </c>
      <c r="G85" s="11" t="s">
        <v>207</v>
      </c>
      <c r="H85" s="11" t="str">
        <f t="shared" ref="H85:H91" si="65">G85</f>
        <v>Energy Star Smart Thermostat</v>
      </c>
      <c r="I85" s="12">
        <v>200</v>
      </c>
      <c r="J85" s="12">
        <f>I85</f>
        <v>200</v>
      </c>
      <c r="K85" s="12"/>
      <c r="L85" s="12">
        <f t="shared" ref="L85:L91" si="66">(R85/Q85)</f>
        <v>912.68971326600627</v>
      </c>
      <c r="M85" s="132">
        <v>6.1475848259776367E-2</v>
      </c>
      <c r="N85" s="71">
        <v>0</v>
      </c>
      <c r="O85" s="73">
        <f>IF(INDEX('Res Measure Mapping'!$R:$R,MATCH($D85,'Res Measure Mapping'!$B:$B,0))="N/A",N85,INDEX('Res Measure Mapping'!$R:$R,MATCH($D85,'Res Measure Mapping'!$B:$B,0)))</f>
        <v>34.196704891699184</v>
      </c>
      <c r="P85" s="73" t="str">
        <f>INDEX('Res Measure Mapping'!$S:$S,MATCH($D85,'Res Measure Mapping'!$B:$B,0))</f>
        <v>household</v>
      </c>
      <c r="Q85" s="71">
        <f t="shared" ref="Q85:Q90" si="67">O85</f>
        <v>34.196704891699184</v>
      </c>
      <c r="R85" s="136">
        <f t="shared" si="50"/>
        <v>31210.980782247163</v>
      </c>
      <c r="S85" s="13">
        <v>0</v>
      </c>
      <c r="T85" s="77">
        <f>IF(INDEX('Res Measure Mapping'!$T:$T,MATCH($D85,'Res Measure Mapping'!$B:$B,0))="N/A",S85,INDEX('Res Measure Mapping'!$T:$T,MATCH($D85,'Res Measure Mapping'!$B:$B,0)))</f>
        <v>264.41000000000003</v>
      </c>
      <c r="U85" s="13">
        <f t="shared" si="62"/>
        <v>264.41000000000003</v>
      </c>
      <c r="V85" s="13">
        <f t="shared" si="54"/>
        <v>7.354812942830419</v>
      </c>
      <c r="W85" s="13">
        <f t="shared" si="51"/>
        <v>241324.28708466474</v>
      </c>
      <c r="X85" s="14">
        <f t="shared" si="52"/>
        <v>234611.62496874772</v>
      </c>
      <c r="Y85" s="12">
        <v>0</v>
      </c>
      <c r="Z85" s="73">
        <f>IF(INDEX('Res Measure Mapping'!$U:$U,MATCH($D85,'Res Measure Mapping'!$B:$B,0))="N/A",Y85,INDEX('Res Measure Mapping'!$U:$U,MATCH($D85,'Res Measure Mapping'!$B:$B,0)))</f>
        <v>5</v>
      </c>
      <c r="AA85" s="12">
        <f>Z85</f>
        <v>5</v>
      </c>
      <c r="AB85" s="12">
        <f t="shared" si="48"/>
        <v>141319.20244035806</v>
      </c>
      <c r="AC85" s="12">
        <f t="shared" si="48"/>
        <v>141319.20244035806</v>
      </c>
      <c r="AD85" s="15">
        <f t="shared" si="53"/>
        <v>93423.00232493435</v>
      </c>
      <c r="AE85" s="13">
        <v>0</v>
      </c>
      <c r="AF85" s="77">
        <f>ROUND(IF(INDEX('Res Measure Mapping'!$V:$V,MATCH($D85,'Res Measure Mapping'!$B:$B,0))="N/A",AE85,INDEX('Res Measure Mapping'!$V:$V,MATCH($D85,'Res Measure Mapping'!$B:$B,0))),0)</f>
        <v>25</v>
      </c>
      <c r="AG85" s="73" t="str">
        <f>INDEX('Res Measure Mapping'!$S:$S,MATCH($D85,'Res Measure Mapping'!$B:$B,0))</f>
        <v>household</v>
      </c>
      <c r="AH85" s="13">
        <v>75</v>
      </c>
      <c r="AI85" s="13">
        <f t="shared" si="59"/>
        <v>68451.728494950468</v>
      </c>
      <c r="AJ85" s="16">
        <f t="shared" si="55"/>
        <v>0.48437669695906777</v>
      </c>
      <c r="AK85" s="16">
        <f t="shared" si="56"/>
        <v>1.1454546022378094</v>
      </c>
      <c r="AL85" s="82">
        <f>IF($B$2="Original",IF($AI85=0,"-",(VLOOKUP(Y85,'APP 2885'!$B$10:$G$54,6)*$R85)/($AI85+$AD85)),IF($AI85=0,"-",(VLOOKUP(AA85,'APP 2885'!$B$10:$G$54,6)*$R85)/($AI85+$AD85)))</f>
        <v>0.90321620071118625</v>
      </c>
      <c r="AM85" s="17">
        <f t="shared" si="57"/>
        <v>1.660153899239295</v>
      </c>
      <c r="AN85" s="18">
        <f t="shared" si="58"/>
        <v>2.3212318045180367</v>
      </c>
      <c r="AO85" s="108">
        <f>IF($B$2="Original",IF($AI85=0,"-",(VLOOKUP(Y85,'APP 2885'!$B$10:$G$54,4)*$R85)/($X85+$AD85)),IF($AI85=0,"-",(VLOOKUP(AA85,'APP 2885'!$B$10:$G$54,4)*$R85)/($X85+$AD85)))</f>
        <v>0.40518970531337911</v>
      </c>
    </row>
    <row r="86" spans="2:41" ht="20.100000000000001" customHeight="1" thickBot="1" x14ac:dyDescent="0.3">
      <c r="C86" s="119">
        <v>17</v>
      </c>
      <c r="D86" s="55" t="str">
        <f t="shared" si="49"/>
        <v>Smart Thermostat_Zone 2_Energy Star Smart Thermostat</v>
      </c>
      <c r="E86" s="3" t="s">
        <v>206</v>
      </c>
      <c r="F86" s="3" t="s">
        <v>23</v>
      </c>
      <c r="G86" s="3" t="s">
        <v>207</v>
      </c>
      <c r="H86" s="3" t="str">
        <f t="shared" si="65"/>
        <v>Energy Star Smart Thermostat</v>
      </c>
      <c r="I86" s="4">
        <v>80</v>
      </c>
      <c r="J86" s="4">
        <f t="shared" ref="J86:J90" si="68">I86</f>
        <v>80</v>
      </c>
      <c r="K86" s="4"/>
      <c r="L86" s="4">
        <f t="shared" si="66"/>
        <v>450.93315205853867</v>
      </c>
      <c r="M86" s="131">
        <v>3.0648071045801716E-2</v>
      </c>
      <c r="N86" s="70">
        <v>0</v>
      </c>
      <c r="O86" s="70">
        <f>IF(INDEX('Res Measure Mapping'!$R:$R,MATCH($D86,'Res Measure Mapping'!$B:$B,0))="N/A",N86,INDEX('Res Measure Mapping'!$R:$R,MATCH($D86,'Res Measure Mapping'!$B:$B,0)))</f>
        <v>34.505940311920931</v>
      </c>
      <c r="P86" s="70" t="str">
        <f>INDEX('Res Measure Mapping'!$S:$S,MATCH($D86,'Res Measure Mapping'!$B:$B,0))</f>
        <v>household</v>
      </c>
      <c r="Q86" s="70">
        <f t="shared" si="67"/>
        <v>34.505940311920931</v>
      </c>
      <c r="R86" s="135">
        <f t="shared" si="50"/>
        <v>15559.872429598301</v>
      </c>
      <c r="S86" s="5">
        <v>0</v>
      </c>
      <c r="T86" s="76">
        <f>IF(INDEX('Res Measure Mapping'!$T:$T,MATCH($D86,'Res Measure Mapping'!$B:$B,0))="N/A",S86,INDEX('Res Measure Mapping'!$T:$T,MATCH($D86,'Res Measure Mapping'!$B:$B,0)))</f>
        <v>264.41000000000003</v>
      </c>
      <c r="U86" s="5">
        <f t="shared" si="62"/>
        <v>264.41000000000003</v>
      </c>
      <c r="V86" s="5">
        <f t="shared" si="54"/>
        <v>7.4213213587211149</v>
      </c>
      <c r="W86" s="5">
        <f t="shared" si="51"/>
        <v>119231.23473579822</v>
      </c>
      <c r="X86" s="6">
        <f t="shared" si="52"/>
        <v>115884.71490307075</v>
      </c>
      <c r="Y86" s="4">
        <v>0</v>
      </c>
      <c r="Z86" s="70">
        <f>IF(INDEX('Res Measure Mapping'!$U:$U,MATCH($D86,'Res Measure Mapping'!$B:$B,0))="N/A",Y86,INDEX('Res Measure Mapping'!$U:$U,MATCH($D86,'Res Measure Mapping'!$B:$B,0)))</f>
        <v>5</v>
      </c>
      <c r="AA86" s="4">
        <f t="shared" si="63"/>
        <v>5</v>
      </c>
      <c r="AB86" s="4">
        <f t="shared" si="48"/>
        <v>70453.049110051987</v>
      </c>
      <c r="AC86" s="4">
        <f t="shared" si="48"/>
        <v>70453.049110051987</v>
      </c>
      <c r="AD86" s="7">
        <f t="shared" si="53"/>
        <v>46574.954126173492</v>
      </c>
      <c r="AE86" s="5">
        <v>0</v>
      </c>
      <c r="AF86" s="76">
        <f>ROUND(IF(INDEX('Res Measure Mapping'!$V:$V,MATCH($D86,'Res Measure Mapping'!$B:$B,0))="N/A",AE86,INDEX('Res Measure Mapping'!$V:$V,MATCH($D86,'Res Measure Mapping'!$B:$B,0))),0)</f>
        <v>25</v>
      </c>
      <c r="AG86" s="70" t="str">
        <f>INDEX('Res Measure Mapping'!$S:$S,MATCH($D86,'Res Measure Mapping'!$B:$B,0))</f>
        <v>household</v>
      </c>
      <c r="AH86" s="5">
        <v>75</v>
      </c>
      <c r="AI86" s="5">
        <f t="shared" si="59"/>
        <v>33819.986404390402</v>
      </c>
      <c r="AJ86" s="8">
        <f t="shared" si="55"/>
        <v>0.48003580869241735</v>
      </c>
      <c r="AK86" s="8">
        <f t="shared" si="56"/>
        <v>1.1411137139711591</v>
      </c>
      <c r="AL86" s="81">
        <f>IF($B$2="Original",IF($AI86=0,"-",(VLOOKUP(Y86,'APP 2885'!$B$10:$G$54,6)*$R86)/($AI86+$AD86)),IF($AI86=0,"-",(VLOOKUP(AA86,'APP 2885'!$B$10:$G$54,6)*$R86)/($AI86+$AD86)))</f>
        <v>0.90665210772020022</v>
      </c>
      <c r="AM86" s="9">
        <f t="shared" si="57"/>
        <v>1.6448502423514944</v>
      </c>
      <c r="AN86" s="10">
        <f t="shared" si="58"/>
        <v>2.3059281476302362</v>
      </c>
      <c r="AO86" s="107">
        <f>IF($B$2="Original",IF($AI86=0,"-",(VLOOKUP(Y86,'APP 2885'!$B$10:$G$54,4)*$R86)/($X86+$AD86)),IF($AI86=0,"-",(VLOOKUP(AA86,'APP 2885'!$B$10:$G$54,4)*$R86)/($X86+$AD86)))</f>
        <v>0.40787881088284689</v>
      </c>
    </row>
    <row r="87" spans="2:41" ht="20.100000000000001" customHeight="1" thickBot="1" x14ac:dyDescent="0.3">
      <c r="C87" s="119">
        <v>17</v>
      </c>
      <c r="D87" s="55" t="str">
        <f t="shared" si="49"/>
        <v>Smart Thermostat_Zone 3_Energy Star Smart Thermostat</v>
      </c>
      <c r="E87" s="11" t="s">
        <v>206</v>
      </c>
      <c r="F87" s="11" t="s">
        <v>24</v>
      </c>
      <c r="G87" s="11" t="s">
        <v>207</v>
      </c>
      <c r="H87" s="11" t="str">
        <f t="shared" si="65"/>
        <v>Energy Star Smart Thermostat</v>
      </c>
      <c r="I87" s="12">
        <v>400</v>
      </c>
      <c r="J87" s="12">
        <f t="shared" si="68"/>
        <v>400</v>
      </c>
      <c r="K87" s="12"/>
      <c r="L87" s="12">
        <f t="shared" si="66"/>
        <v>736.1326470738129</v>
      </c>
      <c r="M87" s="132">
        <v>4.4027751369830809E-2</v>
      </c>
      <c r="N87" s="71">
        <v>0</v>
      </c>
      <c r="O87" s="73">
        <f>IF(INDEX('Res Measure Mapping'!$R:$R,MATCH($D87,'Res Measure Mapping'!$B:$B,0))="N/A",N87,INDEX('Res Measure Mapping'!$R:$R,MATCH($D87,'Res Measure Mapping'!$B:$B,0)))</f>
        <v>30.365001906327521</v>
      </c>
      <c r="P87" s="73" t="str">
        <f>INDEX('Res Measure Mapping'!$S:$S,MATCH($D87,'Res Measure Mapping'!$B:$B,0))</f>
        <v>household</v>
      </c>
      <c r="Q87" s="71">
        <f t="shared" si="67"/>
        <v>30.365001906327521</v>
      </c>
      <c r="R87" s="136">
        <f t="shared" si="50"/>
        <v>22352.669231706252</v>
      </c>
      <c r="S87" s="13">
        <v>0</v>
      </c>
      <c r="T87" s="77">
        <f>IF(INDEX('Res Measure Mapping'!$T:$T,MATCH($D87,'Res Measure Mapping'!$B:$B,0))="N/A",S87,INDEX('Res Measure Mapping'!$T:$T,MATCH($D87,'Res Measure Mapping'!$B:$B,0)))</f>
        <v>264.41000000000003</v>
      </c>
      <c r="U87" s="13">
        <f t="shared" si="62"/>
        <v>264.41000000000003</v>
      </c>
      <c r="V87" s="13">
        <f t="shared" si="54"/>
        <v>6.5307142818879678</v>
      </c>
      <c r="W87" s="13">
        <f t="shared" si="51"/>
        <v>194640.83321278688</v>
      </c>
      <c r="X87" s="14">
        <f t="shared" si="52"/>
        <v>189833.36122117794</v>
      </c>
      <c r="Y87" s="12">
        <v>0</v>
      </c>
      <c r="Z87" s="73">
        <f>IF(INDEX('Res Measure Mapping'!$U:$U,MATCH($D87,'Res Measure Mapping'!$B:$B,0))="N/A",Y87,INDEX('Res Measure Mapping'!$U:$U,MATCH($D87,'Res Measure Mapping'!$B:$B,0)))</f>
        <v>5</v>
      </c>
      <c r="AA87" s="12">
        <f t="shared" si="63"/>
        <v>5</v>
      </c>
      <c r="AB87" s="12">
        <f t="shared" si="48"/>
        <v>101209.93666545146</v>
      </c>
      <c r="AC87" s="12">
        <f t="shared" si="48"/>
        <v>101209.93666545146</v>
      </c>
      <c r="AD87" s="15">
        <f t="shared" si="53"/>
        <v>66907.652924190785</v>
      </c>
      <c r="AE87" s="13">
        <v>0</v>
      </c>
      <c r="AF87" s="77">
        <f>ROUND(IF(INDEX('Res Measure Mapping'!$V:$V,MATCH($D87,'Res Measure Mapping'!$B:$B,0))="N/A",AE87,INDEX('Res Measure Mapping'!$V:$V,MATCH($D87,'Res Measure Mapping'!$B:$B,0))),0)</f>
        <v>25</v>
      </c>
      <c r="AG87" s="73" t="str">
        <f>INDEX('Res Measure Mapping'!$S:$S,MATCH($D87,'Res Measure Mapping'!$B:$B,0))</f>
        <v>household</v>
      </c>
      <c r="AH87" s="13">
        <v>75</v>
      </c>
      <c r="AI87" s="13">
        <f t="shared" si="59"/>
        <v>55209.94853053597</v>
      </c>
      <c r="AJ87" s="16">
        <f t="shared" si="55"/>
        <v>0.54549928939321402</v>
      </c>
      <c r="AK87" s="16">
        <f t="shared" si="56"/>
        <v>1.2065771946719559</v>
      </c>
      <c r="AL87" s="82">
        <f>IF($B$2="Original",IF($AI87=0,"-",(VLOOKUP(Y87,'APP 2885'!$B$10:$G$54,6)*$R87)/($AI87+$AD87)),IF($AI87=0,"-",(VLOOKUP(AA87,'APP 2885'!$B$10:$G$54,6)*$R87)/($AI87+$AD87)))</f>
        <v>0.85746122045814277</v>
      </c>
      <c r="AM87" s="17">
        <f t="shared" si="57"/>
        <v>1.8756395614461296</v>
      </c>
      <c r="AN87" s="18">
        <f t="shared" si="58"/>
        <v>2.5367174667248715</v>
      </c>
      <c r="AO87" s="108">
        <f>IF($B$2="Original",IF($AI87=0,"-",(VLOOKUP(Y87,'APP 2885'!$B$10:$G$54,4)*$R87)/($X87+$AD87)),IF($AI87=0,"-",(VLOOKUP(AA87,'APP 2885'!$B$10:$G$54,4)*$R87)/($X87+$AD87)))</f>
        <v>0.37077019540967115</v>
      </c>
    </row>
    <row r="88" spans="2:41" ht="20.100000000000001" customHeight="1" thickBot="1" x14ac:dyDescent="0.3">
      <c r="C88" s="119">
        <v>20</v>
      </c>
      <c r="D88" s="55" t="str">
        <f t="shared" si="49"/>
        <v>Clothes Washer_Zone 1_ENERGY STAR Clothes Washers</v>
      </c>
      <c r="E88" s="3" t="s">
        <v>210</v>
      </c>
      <c r="F88" s="3" t="s">
        <v>21</v>
      </c>
      <c r="G88" s="3" t="s">
        <v>211</v>
      </c>
      <c r="H88" s="3" t="str">
        <f t="shared" si="65"/>
        <v>ENERGY STAR Clothes Washers</v>
      </c>
      <c r="I88" s="4">
        <v>8</v>
      </c>
      <c r="J88" s="4">
        <f t="shared" si="68"/>
        <v>8</v>
      </c>
      <c r="K88" s="4"/>
      <c r="L88" s="4">
        <f t="shared" si="66"/>
        <v>1183.3695197035995</v>
      </c>
      <c r="M88" s="131">
        <v>1.8014711680602015E-2</v>
      </c>
      <c r="N88" s="70">
        <v>0</v>
      </c>
      <c r="O88" s="70">
        <f>IF(INDEX('Res Measure Mapping'!$R:$R,MATCH($D88,'Res Measure Mapping'!$B:$B,0))="N/A",N88,INDEX('Res Measure Mapping'!$R:$R,MATCH($D88,'Res Measure Mapping'!$B:$B,0)))</f>
        <v>7.7287600317558018</v>
      </c>
      <c r="P88" s="70" t="str">
        <f>INDEX('Res Measure Mapping'!$S:$S,MATCH($D88,'Res Measure Mapping'!$B:$B,0))</f>
        <v>household</v>
      </c>
      <c r="Q88" s="70">
        <f t="shared" si="67"/>
        <v>7.7287600317558018</v>
      </c>
      <c r="R88" s="135">
        <f t="shared" si="50"/>
        <v>9145.9790466832401</v>
      </c>
      <c r="S88" s="5">
        <v>0</v>
      </c>
      <c r="T88" s="76">
        <f>IF(INDEX('Res Measure Mapping'!$T:$T,MATCH($D88,'Res Measure Mapping'!$B:$B,0))="N/A",S88,INDEX('Res Measure Mapping'!$T:$T,MATCH($D88,'Res Measure Mapping'!$B:$B,0)))</f>
        <v>61.41</v>
      </c>
      <c r="U88" s="5">
        <f t="shared" si="62"/>
        <v>61.41</v>
      </c>
      <c r="V88" s="5">
        <f t="shared" si="54"/>
        <v>4.0811894249042044</v>
      </c>
      <c r="W88" s="5">
        <f t="shared" si="51"/>
        <v>72670.722204998048</v>
      </c>
      <c r="X88" s="6">
        <f t="shared" si="52"/>
        <v>67841.167035429753</v>
      </c>
      <c r="Y88" s="4">
        <v>0</v>
      </c>
      <c r="Z88" s="70">
        <f>IF(INDEX('Res Measure Mapping'!$U:$U,MATCH($D88,'Res Measure Mapping'!$B:$B,0))="N/A",Y88,INDEX('Res Measure Mapping'!$U:$U,MATCH($D88,'Res Measure Mapping'!$B:$B,0)))</f>
        <v>14.199999999999998</v>
      </c>
      <c r="AA88" s="4">
        <f t="shared" si="63"/>
        <v>14.199999999999998</v>
      </c>
      <c r="AB88" s="4">
        <f t="shared" si="48"/>
        <v>101674.84567512209</v>
      </c>
      <c r="AC88" s="4">
        <f t="shared" si="48"/>
        <v>101674.84567512209</v>
      </c>
      <c r="AD88" s="7">
        <f t="shared" si="53"/>
        <v>27376.416899660464</v>
      </c>
      <c r="AE88" s="5">
        <v>0</v>
      </c>
      <c r="AF88" s="76">
        <f>ROUND(IF(INDEX('Res Measure Mapping'!$V:$V,MATCH($D88,'Res Measure Mapping'!$B:$B,0))="N/A",AE88,INDEX('Res Measure Mapping'!$V:$V,MATCH($D88,'Res Measure Mapping'!$B:$B,0))),0)</f>
        <v>37</v>
      </c>
      <c r="AG88" s="70" t="str">
        <f>INDEX('Res Measure Mapping'!$S:$S,MATCH($D88,'Res Measure Mapping'!$B:$B,0))</f>
        <v>household</v>
      </c>
      <c r="AH88" s="5">
        <v>50</v>
      </c>
      <c r="AI88" s="5">
        <f t="shared" si="59"/>
        <v>59168.475985179975</v>
      </c>
      <c r="AJ88" s="8">
        <f t="shared" si="55"/>
        <v>0.5819381931912524</v>
      </c>
      <c r="AK88" s="8">
        <f t="shared" si="56"/>
        <v>0.85119276365930419</v>
      </c>
      <c r="AL88" s="81">
        <f>IF($B$2="Original",IF($AI88=0,"-",(VLOOKUP(Y88,'APP 2885'!$B$10:$G$54,6)*$R88)/($AI88+$AD88)),IF($AI88=0,"-",(VLOOKUP(AA88,'APP 2885'!$B$10:$G$54,6)*$R88)/($AI88+$AD88)))</f>
        <v>1.4892894611616629</v>
      </c>
      <c r="AM88" s="9">
        <f t="shared" si="57"/>
        <v>0.66723648887749631</v>
      </c>
      <c r="AN88" s="10">
        <f t="shared" si="58"/>
        <v>0.93649105934554822</v>
      </c>
      <c r="AO88" s="107">
        <f>IF($B$2="Original",IF($AI88=0,"-",(VLOOKUP(Y88,'APP 2885'!$B$10:$G$54,4)*$R88)/($X88+$AD88)),IF($AI88=0,"-",(VLOOKUP(AA88,'APP 2885'!$B$10:$G$54,4)*$R88)/($X88+$AD88)))</f>
        <v>1.2305824537869388</v>
      </c>
    </row>
    <row r="89" spans="2:41" ht="20.100000000000001" customHeight="1" thickBot="1" x14ac:dyDescent="0.3">
      <c r="C89" s="119">
        <v>20</v>
      </c>
      <c r="D89" s="55" t="str">
        <f t="shared" si="49"/>
        <v>Clothes Washer_Zone 2_ENERGY STAR Clothes Washers</v>
      </c>
      <c r="E89" s="11" t="s">
        <v>210</v>
      </c>
      <c r="F89" s="11" t="s">
        <v>23</v>
      </c>
      <c r="G89" s="11" t="s">
        <v>211</v>
      </c>
      <c r="H89" s="11" t="str">
        <f t="shared" si="65"/>
        <v>ENERGY STAR Clothes Washers</v>
      </c>
      <c r="I89" s="12">
        <v>6</v>
      </c>
      <c r="J89" s="12">
        <f t="shared" si="68"/>
        <v>6</v>
      </c>
      <c r="K89" s="12"/>
      <c r="L89" s="12">
        <f t="shared" si="66"/>
        <v>573.23216364509551</v>
      </c>
      <c r="M89" s="132">
        <v>8.7264476413931886E-3</v>
      </c>
      <c r="N89" s="71">
        <v>0</v>
      </c>
      <c r="O89" s="73">
        <f>IF(INDEX('Res Measure Mapping'!$R:$R,MATCH($D89,'Res Measure Mapping'!$B:$B,0))="N/A",N89,INDEX('Res Measure Mapping'!$R:$R,MATCH($D89,'Res Measure Mapping'!$B:$B,0)))</f>
        <v>7.7287600317558018</v>
      </c>
      <c r="P89" s="73" t="str">
        <f>INDEX('Res Measure Mapping'!$S:$S,MATCH($D89,'Res Measure Mapping'!$B:$B,0))</f>
        <v>household</v>
      </c>
      <c r="Q89" s="71">
        <f t="shared" si="67"/>
        <v>7.7287600317558018</v>
      </c>
      <c r="R89" s="136">
        <f t="shared" si="50"/>
        <v>4430.373835297115</v>
      </c>
      <c r="S89" s="13">
        <v>0</v>
      </c>
      <c r="T89" s="77">
        <f>IF(INDEX('Res Measure Mapping'!$T:$T,MATCH($D89,'Res Measure Mapping'!$B:$B,0))="N/A",S89,INDEX('Res Measure Mapping'!$T:$T,MATCH($D89,'Res Measure Mapping'!$B:$B,0)))</f>
        <v>61.41</v>
      </c>
      <c r="U89" s="13">
        <f t="shared" si="62"/>
        <v>61.41</v>
      </c>
      <c r="V89" s="13">
        <f t="shared" si="54"/>
        <v>4.0811894249042044</v>
      </c>
      <c r="W89" s="13">
        <f t="shared" si="51"/>
        <v>35202.187169445315</v>
      </c>
      <c r="X89" s="14">
        <f t="shared" si="52"/>
        <v>32862.718125161991</v>
      </c>
      <c r="Y89" s="12">
        <v>0</v>
      </c>
      <c r="Z89" s="73">
        <f>IF(INDEX('Res Measure Mapping'!$U:$U,MATCH($D89,'Res Measure Mapping'!$B:$B,0))="N/A",Y89,INDEX('Res Measure Mapping'!$U:$U,MATCH($D89,'Res Measure Mapping'!$B:$B,0)))</f>
        <v>14.199999999999998</v>
      </c>
      <c r="AA89" s="12">
        <f t="shared" si="63"/>
        <v>14.199999999999998</v>
      </c>
      <c r="AB89" s="12">
        <f t="shared" si="48"/>
        <v>49251.979879648847</v>
      </c>
      <c r="AC89" s="12">
        <f t="shared" si="48"/>
        <v>49251.979879648847</v>
      </c>
      <c r="AD89" s="15">
        <f t="shared" si="53"/>
        <v>13261.320687195986</v>
      </c>
      <c r="AE89" s="13">
        <v>0</v>
      </c>
      <c r="AF89" s="77">
        <f>ROUND(IF(INDEX('Res Measure Mapping'!$V:$V,MATCH($D89,'Res Measure Mapping'!$B:$B,0))="N/A",AE89,INDEX('Res Measure Mapping'!$V:$V,MATCH($D89,'Res Measure Mapping'!$B:$B,0))),0)</f>
        <v>37</v>
      </c>
      <c r="AG89" s="73" t="str">
        <f>INDEX('Res Measure Mapping'!$S:$S,MATCH($D89,'Res Measure Mapping'!$B:$B,0))</f>
        <v>household</v>
      </c>
      <c r="AH89" s="13">
        <v>50</v>
      </c>
      <c r="AI89" s="13">
        <f t="shared" si="59"/>
        <v>28661.608182254775</v>
      </c>
      <c r="AJ89" s="16">
        <f t="shared" si="55"/>
        <v>0.58193819319125262</v>
      </c>
      <c r="AK89" s="16">
        <f t="shared" si="56"/>
        <v>0.85119276365930452</v>
      </c>
      <c r="AL89" s="82">
        <f>IF($B$2="Original",IF($AI89=0,"-",(VLOOKUP(Y89,'APP 2885'!$B$10:$G$54,6)*$R89)/($AI89+$AD89)),IF($AI89=0,"-",(VLOOKUP(AA89,'APP 2885'!$B$10:$G$54,6)*$R89)/($AI89+$AD89)))</f>
        <v>1.4892894611616625</v>
      </c>
      <c r="AM89" s="17">
        <f t="shared" si="57"/>
        <v>0.66723648887749631</v>
      </c>
      <c r="AN89" s="18">
        <f t="shared" si="58"/>
        <v>0.93649105934554822</v>
      </c>
      <c r="AO89" s="108">
        <f>IF($B$2="Original",IF($AI89=0,"-",(VLOOKUP(Y89,'APP 2885'!$B$10:$G$54,4)*$R89)/($X89+$AD89)),IF($AI89=0,"-",(VLOOKUP(AA89,'APP 2885'!$B$10:$G$54,4)*$R89)/($X89+$AD89)))</f>
        <v>1.2305824537869388</v>
      </c>
    </row>
    <row r="90" spans="2:41" ht="20.100000000000001" customHeight="1" thickBot="1" x14ac:dyDescent="0.3">
      <c r="C90" s="119">
        <v>20</v>
      </c>
      <c r="D90" s="55" t="str">
        <f t="shared" si="49"/>
        <v>Clothes Washer_Zone 3_ENERGY STAR Clothes Washers</v>
      </c>
      <c r="E90" s="3" t="s">
        <v>210</v>
      </c>
      <c r="F90" s="3" t="s">
        <v>24</v>
      </c>
      <c r="G90" s="3" t="s">
        <v>211</v>
      </c>
      <c r="H90" s="3" t="str">
        <f t="shared" si="65"/>
        <v>ENERGY STAR Clothes Washers</v>
      </c>
      <c r="I90" s="4">
        <v>10</v>
      </c>
      <c r="J90" s="4">
        <f t="shared" si="68"/>
        <v>10</v>
      </c>
      <c r="K90" s="4"/>
      <c r="L90" s="4">
        <f t="shared" si="66"/>
        <v>777.86294541311997</v>
      </c>
      <c r="M90" s="131">
        <v>1.1841590015053855E-2</v>
      </c>
      <c r="N90" s="70">
        <v>0</v>
      </c>
      <c r="O90" s="70">
        <f>IF(INDEX('Res Measure Mapping'!$R:$R,MATCH($D90,'Res Measure Mapping'!$B:$B,0))="N/A",N90,INDEX('Res Measure Mapping'!$R:$R,MATCH($D90,'Res Measure Mapping'!$B:$B,0)))</f>
        <v>7.7287600317558018</v>
      </c>
      <c r="P90" s="70" t="str">
        <f>INDEX('Res Measure Mapping'!$S:$S,MATCH($D90,'Res Measure Mapping'!$B:$B,0))</f>
        <v>household</v>
      </c>
      <c r="Q90" s="70">
        <f t="shared" si="67"/>
        <v>7.7287600317558018</v>
      </c>
      <c r="R90" s="135">
        <f t="shared" si="50"/>
        <v>6011.9160426927665</v>
      </c>
      <c r="S90" s="5">
        <v>0</v>
      </c>
      <c r="T90" s="76">
        <f>IF(INDEX('Res Measure Mapping'!$T:$T,MATCH($D90,'Res Measure Mapping'!$B:$B,0))="N/A",S90,INDEX('Res Measure Mapping'!$T:$T,MATCH($D90,'Res Measure Mapping'!$B:$B,0)))</f>
        <v>61.41</v>
      </c>
      <c r="U90" s="5">
        <f t="shared" si="62"/>
        <v>61.41</v>
      </c>
      <c r="V90" s="5">
        <f t="shared" si="54"/>
        <v>4.0811894249042044</v>
      </c>
      <c r="W90" s="5">
        <f t="shared" si="51"/>
        <v>47768.563477819698</v>
      </c>
      <c r="X90" s="6">
        <f t="shared" si="52"/>
        <v>44593.957450974835</v>
      </c>
      <c r="Y90" s="4">
        <v>0</v>
      </c>
      <c r="Z90" s="70">
        <f>IF(INDEX('Res Measure Mapping'!$U:$U,MATCH($D90,'Res Measure Mapping'!$B:$B,0))="N/A",Y90,INDEX('Res Measure Mapping'!$U:$U,MATCH($D90,'Res Measure Mapping'!$B:$B,0)))</f>
        <v>14.199999999999998</v>
      </c>
      <c r="AA90" s="4">
        <f t="shared" si="63"/>
        <v>14.199999999999998</v>
      </c>
      <c r="AB90" s="4">
        <f t="shared" si="48"/>
        <v>66833.81109147078</v>
      </c>
      <c r="AC90" s="4">
        <f t="shared" si="48"/>
        <v>66833.81109147078</v>
      </c>
      <c r="AD90" s="7">
        <f t="shared" si="53"/>
        <v>17995.309098176891</v>
      </c>
      <c r="AE90" s="5">
        <v>0</v>
      </c>
      <c r="AF90" s="76">
        <f>ROUND(IF(INDEX('Res Measure Mapping'!$V:$V,MATCH($D90,'Res Measure Mapping'!$B:$B,0))="N/A",AE90,INDEX('Res Measure Mapping'!$V:$V,MATCH($D90,'Res Measure Mapping'!$B:$B,0))),0)</f>
        <v>37</v>
      </c>
      <c r="AG90" s="70" t="str">
        <f>INDEX('Res Measure Mapping'!$S:$S,MATCH($D90,'Res Measure Mapping'!$B:$B,0))</f>
        <v>household</v>
      </c>
      <c r="AH90" s="5">
        <v>50</v>
      </c>
      <c r="AI90" s="5">
        <f t="shared" si="59"/>
        <v>38893.147270656002</v>
      </c>
      <c r="AJ90" s="8">
        <f t="shared" si="55"/>
        <v>0.58193819319125262</v>
      </c>
      <c r="AK90" s="8">
        <f t="shared" si="56"/>
        <v>0.85119276365930452</v>
      </c>
      <c r="AL90" s="81">
        <f>IF($B$2="Original",IF($AI90=0,"-",(VLOOKUP(Y90,'APP 2885'!$B$10:$G$54,6)*$R90)/($AI90+$AD90)),IF($AI90=0,"-",(VLOOKUP(AA90,'APP 2885'!$B$10:$G$54,6)*$R90)/($AI90+$AD90)))</f>
        <v>1.4892894611616625</v>
      </c>
      <c r="AM90" s="9">
        <f t="shared" si="57"/>
        <v>0.66723648887749631</v>
      </c>
      <c r="AN90" s="10">
        <f t="shared" si="58"/>
        <v>0.93649105934554833</v>
      </c>
      <c r="AO90" s="107">
        <f>IF($B$2="Original",IF($AI90=0,"-",(VLOOKUP(Y90,'APP 2885'!$B$10:$G$54,4)*$R90)/($X90+$AD90)),IF($AI90=0,"-",(VLOOKUP(AA90,'APP 2885'!$B$10:$G$54,4)*$R90)/($X90+$AD90)))</f>
        <v>1.2305824537869388</v>
      </c>
    </row>
    <row r="91" spans="2:41" s="78" customFormat="1" ht="20.100000000000001" customHeight="1" thickBot="1" x14ac:dyDescent="0.3">
      <c r="B91"/>
      <c r="C91" s="119">
        <v>23</v>
      </c>
      <c r="D91" s="55" t="str">
        <f t="shared" si="49"/>
        <v>Prescriptive Air Sealing W/Insulation Install_Zone 1_BPA Weatherization Specifications section 4.4 or 6.2</v>
      </c>
      <c r="E91" s="11" t="s">
        <v>322</v>
      </c>
      <c r="F91" s="11" t="s">
        <v>21</v>
      </c>
      <c r="G91" s="11" t="s">
        <v>321</v>
      </c>
      <c r="H91" s="11" t="str">
        <f t="shared" si="65"/>
        <v>BPA Weatherization Specifications section 4.4 or 6.2</v>
      </c>
      <c r="I91" s="12">
        <v>1</v>
      </c>
      <c r="J91" s="12">
        <v>1</v>
      </c>
      <c r="K91" s="12"/>
      <c r="L91" s="12">
        <f t="shared" si="66"/>
        <v>79.638431372549022</v>
      </c>
      <c r="M91" s="132">
        <v>0.01</v>
      </c>
      <c r="N91" s="71" t="s">
        <v>320</v>
      </c>
      <c r="O91" s="73"/>
      <c r="P91" s="73" t="s">
        <v>178</v>
      </c>
      <c r="Q91" s="71">
        <f>Q71*0.85</f>
        <v>63.75</v>
      </c>
      <c r="R91" s="136">
        <f t="shared" si="50"/>
        <v>5076.95</v>
      </c>
      <c r="S91" s="13">
        <f>S71-400</f>
        <v>350</v>
      </c>
      <c r="T91" s="77" t="s">
        <v>125</v>
      </c>
      <c r="U91" s="13">
        <v>350</v>
      </c>
      <c r="V91" s="13">
        <f>V71*0.85</f>
        <v>35.125498362626836</v>
      </c>
      <c r="W91" s="13">
        <f t="shared" si="51"/>
        <v>27873.450980392157</v>
      </c>
      <c r="X91" s="14">
        <f t="shared" si="52"/>
        <v>25076.111389613518</v>
      </c>
      <c r="Y91" s="12" t="s">
        <v>320</v>
      </c>
      <c r="Z91" s="73" t="s">
        <v>320</v>
      </c>
      <c r="AA91" s="12">
        <v>15</v>
      </c>
      <c r="AB91" s="12">
        <f t="shared" si="48"/>
        <v>58891.359805866101</v>
      </c>
      <c r="AC91" s="12">
        <f t="shared" si="48"/>
        <v>58891.359805866101</v>
      </c>
      <c r="AD91" s="15">
        <f t="shared" si="53"/>
        <v>15196.7</v>
      </c>
      <c r="AE91" s="13" t="s">
        <v>125</v>
      </c>
      <c r="AF91" s="77" t="s">
        <v>125</v>
      </c>
      <c r="AG91" s="73" t="s">
        <v>178</v>
      </c>
      <c r="AH91" s="13">
        <v>150</v>
      </c>
      <c r="AI91" s="13">
        <f t="shared" si="59"/>
        <v>11945.764705882353</v>
      </c>
      <c r="AJ91" s="16">
        <f t="shared" si="55"/>
        <v>0.20284409708421183</v>
      </c>
      <c r="AK91" s="16">
        <f t="shared" si="56"/>
        <v>0.46089043953742642</v>
      </c>
      <c r="AL91" s="82">
        <f>IF($B$2="Original",IF($AI91=0,"-",(VLOOKUP(Y91,'APP 2885'!$B$10:$G$54,6)*$R91)/($AI91+$AD91)),IF($AI91=0,"-",(VLOOKUP(AA91,'APP 2885'!$B$10:$G$54,6)*$R91)/($AI91+$AD91)))</f>
        <v>2.8457399531128167</v>
      </c>
      <c r="AM91" s="17">
        <f t="shared" si="57"/>
        <v>0.42580289319649423</v>
      </c>
      <c r="AN91" s="18">
        <f t="shared" si="58"/>
        <v>0.68384923564970879</v>
      </c>
      <c r="AO91" s="108">
        <f>IF($B$2="Original",IF($AI91=0,"-",(VLOOKUP(Y91,'APP 2885'!$B$10:$G$54,4)*$R91)/($X91+$AD91)),IF($AI91=0,"-",(VLOOKUP(AA91,'APP 2885'!$B$10:$G$54,4)*$R91)/($X91+$AD91)))</f>
        <v>1.7435718941142524</v>
      </c>
    </row>
    <row r="92" spans="2:41" ht="30" customHeight="1" thickBot="1" x14ac:dyDescent="0.3">
      <c r="E92" s="19" t="s">
        <v>65</v>
      </c>
      <c r="F92" s="20" t="s">
        <v>66</v>
      </c>
      <c r="G92" s="20" t="s">
        <v>66</v>
      </c>
      <c r="H92" s="20"/>
      <c r="I92" s="21">
        <v>3970</v>
      </c>
      <c r="J92" s="22">
        <f>SUM(J8:J74)</f>
        <v>6767</v>
      </c>
      <c r="K92" s="22"/>
      <c r="L92" s="22"/>
      <c r="M92" s="22"/>
      <c r="N92" s="20" t="s">
        <v>66</v>
      </c>
      <c r="O92" s="20"/>
      <c r="P92" s="20"/>
      <c r="Q92" s="20"/>
      <c r="R92" s="23">
        <v>507695</v>
      </c>
      <c r="S92" s="24">
        <f>IF($B$2="Original",SUM(S8:S90),SUM(U8:U90))</f>
        <v>48914.170000000006</v>
      </c>
      <c r="T92" s="24"/>
      <c r="U92" s="24"/>
      <c r="V92" s="24">
        <f>SUM(V8:V91)</f>
        <v>2431.4756282774224</v>
      </c>
      <c r="W92" s="24">
        <f>SUM(W8:W91)</f>
        <v>8076076.9867909616</v>
      </c>
      <c r="X92" s="24">
        <f>SUM(X8:X91)</f>
        <v>7727639.3537161257</v>
      </c>
      <c r="Y92" s="22">
        <f>IF($B$2="Original",SUMPRODUCT(Y8:Y91,R8:R91)/SUM(R8:R91),SUMPRODUCT(AA8:AA91,R8:R91)/SUM(R8:R91))</f>
        <v>22.637133637652937</v>
      </c>
      <c r="Z92" s="22"/>
      <c r="AA92" s="22"/>
      <c r="AB92" s="25">
        <f>SUM(AB8:AB90)</f>
        <v>7276637.7575590415</v>
      </c>
      <c r="AC92" s="25">
        <f>AB92</f>
        <v>7276637.7575590415</v>
      </c>
      <c r="AD92" s="26">
        <f>G97+G98+G99</f>
        <v>1519670</v>
      </c>
      <c r="AE92" s="20" t="s">
        <v>66</v>
      </c>
      <c r="AF92" s="20"/>
      <c r="AG92" s="20"/>
      <c r="AH92" s="20"/>
      <c r="AI92" s="24">
        <f>SUM(AI8:AI90)</f>
        <v>5523432.7264261097</v>
      </c>
      <c r="AJ92" s="24">
        <f t="shared" si="55"/>
        <v>0.759063857574649</v>
      </c>
      <c r="AK92" s="24">
        <f t="shared" si="56"/>
        <v>0.96790618979344778</v>
      </c>
      <c r="AL92" s="27">
        <f>IF(VALUE(LEFT($AI92,11))=0,"-",(VLOOKUP(Y92,'APP 2885'!$B$10:$G$54,6)*VALUE(LEFT($R92,7)))/(VALUE(LEFT($AI92,11))+$AD92))</f>
        <v>1.7062743682506072</v>
      </c>
      <c r="AM92" s="24">
        <f t="shared" si="57"/>
        <v>1.0619793936682611</v>
      </c>
      <c r="AN92" s="24">
        <f t="shared" si="58"/>
        <v>1.2708217258870598</v>
      </c>
      <c r="AO92" s="112">
        <f>IF($AI92=0,"-",(VLOOKUP(Y92,'APP 2885'!$B$10:$G$54,4)*$R92)/($X92+$AD92))</f>
        <v>1.181421358232503</v>
      </c>
    </row>
    <row r="93" spans="2:41" ht="30" customHeight="1" thickBot="1" x14ac:dyDescent="0.3">
      <c r="E93" s="28"/>
      <c r="F93" s="29">
        <v>2022</v>
      </c>
      <c r="G93" s="29">
        <v>2023</v>
      </c>
      <c r="H93" s="41"/>
      <c r="I93" s="29"/>
      <c r="J93" s="29"/>
      <c r="K93" s="41"/>
      <c r="L93" s="41"/>
      <c r="M93" s="41"/>
      <c r="N93" s="29"/>
      <c r="O93" s="41"/>
      <c r="P93" s="41"/>
      <c r="Q93" s="41"/>
      <c r="R93" s="29"/>
      <c r="S93" s="29"/>
      <c r="T93" s="41"/>
      <c r="U93" s="41" t="s">
        <v>326</v>
      </c>
      <c r="V93" s="129">
        <f>W92-X92</f>
        <v>348437.63307483587</v>
      </c>
      <c r="W93" s="29"/>
      <c r="X93" s="29"/>
      <c r="Y93" s="29"/>
      <c r="Z93" s="41"/>
      <c r="AA93" s="41"/>
      <c r="AB93" s="29"/>
      <c r="AC93" s="29"/>
      <c r="AD93" s="29"/>
      <c r="AE93" s="29"/>
      <c r="AF93" s="41"/>
      <c r="AG93" s="41"/>
      <c r="AH93" s="41"/>
      <c r="AI93" s="29"/>
      <c r="AJ93" s="29"/>
      <c r="AK93" s="29"/>
      <c r="AL93" s="29"/>
      <c r="AM93" s="29"/>
      <c r="AN93" s="29"/>
      <c r="AO93" s="110"/>
    </row>
    <row r="94" spans="2:41" ht="30" customHeight="1" thickBot="1" x14ac:dyDescent="0.3">
      <c r="E94" s="30" t="s">
        <v>67</v>
      </c>
      <c r="F94" s="31">
        <v>3.4000000000000002E-2</v>
      </c>
      <c r="G94" s="31">
        <v>3.4000000000000002E-2</v>
      </c>
      <c r="H94" s="41"/>
      <c r="I94" s="29"/>
      <c r="J94" s="29"/>
      <c r="K94" s="41"/>
      <c r="L94" s="41"/>
      <c r="M94" s="41"/>
      <c r="N94" s="29"/>
      <c r="O94" s="83"/>
      <c r="P94" s="41"/>
      <c r="Q94" s="41"/>
      <c r="R94" s="29"/>
      <c r="S94" s="29"/>
      <c r="T94" s="41"/>
      <c r="U94" s="41"/>
      <c r="V94" s="29"/>
      <c r="W94" s="29"/>
      <c r="X94" s="29"/>
      <c r="Y94" s="29"/>
      <c r="Z94" s="41"/>
      <c r="AA94" s="41"/>
      <c r="AB94" s="29"/>
      <c r="AC94" s="29"/>
      <c r="AD94" s="29"/>
      <c r="AE94" s="29"/>
      <c r="AF94" s="41"/>
      <c r="AG94" s="41"/>
      <c r="AH94" s="41"/>
      <c r="AI94" s="29"/>
      <c r="AJ94" s="29"/>
      <c r="AK94" s="29"/>
      <c r="AL94" s="29"/>
      <c r="AM94" s="29"/>
      <c r="AN94" s="29"/>
      <c r="AO94" s="110"/>
    </row>
    <row r="95" spans="2:41" ht="30" customHeight="1" thickBot="1" x14ac:dyDescent="0.3">
      <c r="E95" s="30" t="s">
        <v>68</v>
      </c>
      <c r="F95" s="31">
        <v>0.02</v>
      </c>
      <c r="G95" s="31">
        <v>0.02</v>
      </c>
      <c r="H95" s="41"/>
      <c r="I95" s="29"/>
      <c r="J95" s="29"/>
      <c r="K95" s="41"/>
      <c r="L95" s="41"/>
      <c r="M95" s="41"/>
      <c r="N95" s="29"/>
      <c r="O95" s="41"/>
      <c r="P95" s="41"/>
      <c r="Q95" s="41"/>
      <c r="R95" s="29"/>
      <c r="S95" s="29"/>
      <c r="T95" s="41"/>
      <c r="U95" s="41"/>
      <c r="V95" s="29"/>
      <c r="W95" s="29"/>
      <c r="X95" s="29"/>
      <c r="Y95" s="29"/>
      <c r="Z95" s="41"/>
      <c r="AA95" s="41"/>
      <c r="AB95" s="29"/>
      <c r="AC95" s="29"/>
      <c r="AD95" s="29"/>
      <c r="AE95" s="29"/>
      <c r="AF95" s="41"/>
      <c r="AG95" s="41"/>
      <c r="AH95" s="41"/>
      <c r="AI95" s="29"/>
      <c r="AJ95" s="29"/>
      <c r="AK95" s="29"/>
      <c r="AL95" s="29"/>
      <c r="AM95" s="29"/>
      <c r="AN95" s="29"/>
      <c r="AO95" s="110"/>
    </row>
    <row r="96" spans="2:41" ht="30" customHeight="1" thickBot="1" x14ac:dyDescent="0.3">
      <c r="E96" s="30" t="s">
        <v>69</v>
      </c>
      <c r="F96" s="31">
        <v>3.4000000000000002E-2</v>
      </c>
      <c r="G96" s="31">
        <v>3.4000000000000002E-2</v>
      </c>
      <c r="H96" s="41"/>
      <c r="I96" s="29"/>
      <c r="J96" s="29"/>
      <c r="K96" s="41"/>
      <c r="L96" s="41"/>
      <c r="M96" s="41"/>
      <c r="N96" s="29"/>
      <c r="O96" s="41"/>
      <c r="P96" s="41"/>
      <c r="Q96" s="41"/>
      <c r="R96" s="29"/>
      <c r="S96" s="29"/>
      <c r="T96" s="41"/>
      <c r="U96" s="41"/>
      <c r="V96" s="29"/>
      <c r="W96" s="29"/>
      <c r="X96" s="29"/>
      <c r="Y96" s="29"/>
      <c r="Z96" s="41"/>
      <c r="AA96" s="41"/>
      <c r="AB96" s="29"/>
      <c r="AC96" s="29"/>
      <c r="AD96" s="29"/>
      <c r="AE96" s="29"/>
      <c r="AF96" s="41"/>
      <c r="AG96" s="41"/>
      <c r="AH96" s="41"/>
      <c r="AI96" s="29"/>
      <c r="AJ96" s="29"/>
      <c r="AK96" s="29"/>
      <c r="AL96" s="29"/>
      <c r="AM96" s="29"/>
      <c r="AN96" s="29"/>
      <c r="AO96" s="110"/>
    </row>
    <row r="97" spans="5:41" ht="30" customHeight="1" thickBot="1" x14ac:dyDescent="0.3">
      <c r="E97" s="30" t="s">
        <v>70</v>
      </c>
      <c r="F97" s="32">
        <v>1257715</v>
      </c>
      <c r="G97" s="32">
        <v>1404670</v>
      </c>
      <c r="H97" s="41"/>
      <c r="I97" s="29"/>
      <c r="J97" s="29"/>
      <c r="K97" s="41"/>
      <c r="L97" s="41"/>
      <c r="M97" s="41"/>
      <c r="N97" s="29"/>
      <c r="O97" s="41"/>
      <c r="P97" s="41"/>
      <c r="Q97" s="41"/>
      <c r="R97" s="29"/>
      <c r="S97" s="29"/>
      <c r="T97" s="41"/>
      <c r="U97" s="41"/>
      <c r="V97" s="29"/>
      <c r="W97" s="29"/>
      <c r="X97" s="29"/>
      <c r="Y97" s="29"/>
      <c r="Z97" s="41"/>
      <c r="AA97" s="41"/>
      <c r="AB97" s="29"/>
      <c r="AC97" s="29"/>
      <c r="AD97" s="29"/>
      <c r="AE97" s="29"/>
      <c r="AF97" s="41"/>
      <c r="AG97" s="41"/>
      <c r="AH97" s="41"/>
      <c r="AI97" s="29"/>
      <c r="AJ97" s="29"/>
      <c r="AK97" s="29"/>
      <c r="AL97" s="29"/>
      <c r="AM97" s="29"/>
      <c r="AN97" s="29"/>
      <c r="AO97" s="110"/>
    </row>
    <row r="98" spans="5:41" ht="30" customHeight="1" thickBot="1" x14ac:dyDescent="0.3">
      <c r="E98" s="30" t="s">
        <v>345</v>
      </c>
      <c r="F98" s="32">
        <v>35000</v>
      </c>
      <c r="G98" s="32">
        <v>35000</v>
      </c>
      <c r="H98" s="41"/>
      <c r="I98" s="29"/>
      <c r="J98" s="29"/>
      <c r="K98" s="41"/>
      <c r="L98" s="41"/>
      <c r="M98" s="41"/>
      <c r="N98" s="29"/>
      <c r="O98" s="41"/>
      <c r="P98" s="41"/>
      <c r="Q98" s="41"/>
      <c r="R98" s="29"/>
      <c r="S98" s="29"/>
      <c r="T98" s="41"/>
      <c r="U98" s="41"/>
      <c r="V98" s="29"/>
      <c r="W98" s="29"/>
      <c r="X98" s="29"/>
      <c r="Y98" s="29"/>
      <c r="Z98" s="41"/>
      <c r="AA98" s="41"/>
      <c r="AB98" s="29"/>
      <c r="AC98" s="29"/>
      <c r="AD98" s="29"/>
      <c r="AE98" s="29"/>
      <c r="AF98" s="41"/>
      <c r="AG98" s="41"/>
      <c r="AH98" s="41"/>
      <c r="AI98" s="29"/>
      <c r="AJ98" s="29"/>
      <c r="AK98" s="29"/>
      <c r="AL98" s="29"/>
      <c r="AM98" s="29"/>
      <c r="AN98" s="29"/>
      <c r="AO98" s="110"/>
    </row>
    <row r="99" spans="5:41" ht="15.75" thickBot="1" x14ac:dyDescent="0.3">
      <c r="E99" s="30" t="s">
        <v>346</v>
      </c>
      <c r="F99" s="32">
        <v>0</v>
      </c>
      <c r="G99" s="32">
        <v>80000</v>
      </c>
    </row>
  </sheetData>
  <autoFilter ref="A7:AO7" xr:uid="{3669070A-4564-4490-80ED-86DA3544A66F}"/>
  <mergeCells count="3">
    <mergeCell ref="F1:AO1"/>
    <mergeCell ref="F2:AO2"/>
    <mergeCell ref="AH5:AO6"/>
  </mergeCells>
  <dataValidations disablePrompts="1" count="1">
    <dataValidation type="list" allowBlank="1" showInputMessage="1" showErrorMessage="1" sqref="B2:C2" xr:uid="{07202CD7-486D-4BC7-A472-56B39598E116}">
      <formula1>$B$3:$B$4</formula1>
    </dataValidation>
  </dataValidations>
  <pageMargins left="0" right="0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A1096-32FB-4AC3-BF97-23BB807F982B}">
  <sheetPr>
    <tabColor rgb="FF0070C0"/>
  </sheetPr>
  <dimension ref="A1:J25"/>
  <sheetViews>
    <sheetView showGridLines="0" topLeftCell="B1" zoomScaleNormal="100" workbookViewId="0">
      <selection activeCell="H25" sqref="H25"/>
    </sheetView>
  </sheetViews>
  <sheetFormatPr defaultRowHeight="15" x14ac:dyDescent="0.25"/>
  <cols>
    <col min="1" max="1" width="10.7109375" hidden="1" customWidth="1"/>
    <col min="2" max="2" width="33.5703125" customWidth="1"/>
    <col min="3" max="3" width="50.42578125" customWidth="1"/>
    <col min="4" max="4" width="33.5703125" customWidth="1"/>
    <col min="5" max="5" width="21" bestFit="1" customWidth="1"/>
    <col min="6" max="6" width="17.85546875" bestFit="1" customWidth="1"/>
    <col min="7" max="7" width="32.42578125" customWidth="1"/>
    <col min="8" max="8" width="25.28515625" bestFit="1" customWidth="1"/>
  </cols>
  <sheetData>
    <row r="1" spans="1:10" ht="39" thickBot="1" x14ac:dyDescent="0.3">
      <c r="A1" s="120" t="s">
        <v>302</v>
      </c>
      <c r="B1" s="113" t="s">
        <v>241</v>
      </c>
      <c r="C1" s="113" t="s">
        <v>242</v>
      </c>
      <c r="D1" s="114" t="s">
        <v>243</v>
      </c>
      <c r="E1" s="113" t="s">
        <v>244</v>
      </c>
      <c r="F1" s="113" t="s">
        <v>246</v>
      </c>
      <c r="G1" s="113" t="s">
        <v>245</v>
      </c>
      <c r="H1" s="113" t="s">
        <v>317</v>
      </c>
      <c r="I1" s="113" t="s">
        <v>318</v>
      </c>
      <c r="J1" s="113" t="s">
        <v>319</v>
      </c>
    </row>
    <row r="2" spans="1:10" ht="15.75" thickTop="1" x14ac:dyDescent="0.25">
      <c r="A2" s="120">
        <v>1</v>
      </c>
      <c r="B2" s="115" t="s">
        <v>247</v>
      </c>
      <c r="C2" s="115" t="s">
        <v>248</v>
      </c>
      <c r="D2" s="115" t="s">
        <v>249</v>
      </c>
      <c r="E2" s="124">
        <f>INDEX('2022'!AE:AE,MATCH(A2,'2022'!C:C,0))</f>
        <v>2000</v>
      </c>
      <c r="F2" s="125">
        <f>IFERROR(AVERAGEIF('2022'!C:C,A2,'2022'!AH:AH),"N/A")</f>
        <v>600</v>
      </c>
      <c r="G2" s="116">
        <v>1.5</v>
      </c>
      <c r="H2" s="117">
        <f>IFERROR(AVERAGEIF('2022'!C:C,A2,'2022'!AL:AL),"N/A")</f>
        <v>1.4754046046379814</v>
      </c>
      <c r="I2" s="116">
        <v>6.4</v>
      </c>
      <c r="J2" s="121">
        <f>IFERROR(AVERAGEIF('2022'!C:C,A2,'2022'!AO:AO),"N/A")</f>
        <v>0.41613848055141506</v>
      </c>
    </row>
    <row r="3" spans="1:10" x14ac:dyDescent="0.25">
      <c r="A3" s="120">
        <v>2</v>
      </c>
      <c r="B3" s="115" t="s">
        <v>250</v>
      </c>
      <c r="C3" s="115" t="s">
        <v>251</v>
      </c>
      <c r="D3" s="115" t="s">
        <v>252</v>
      </c>
      <c r="E3" s="124">
        <v>2000</v>
      </c>
      <c r="F3" s="125">
        <v>600</v>
      </c>
      <c r="G3" s="116">
        <v>1.3</v>
      </c>
      <c r="H3" s="117">
        <f>IFERROR(AVERAGEIF('2022'!C:C,A3,'2022'!AL:AL),"N/A")</f>
        <v>2.3061243897701504</v>
      </c>
      <c r="I3" s="116">
        <v>5.3</v>
      </c>
      <c r="J3" s="121">
        <f>IFERROR(AVERAGEIF('2022'!C:C,A3,'2022'!AO:AO),"N/A")</f>
        <v>1.2594130062863351</v>
      </c>
    </row>
    <row r="4" spans="1:10" x14ac:dyDescent="0.25">
      <c r="A4" s="120">
        <v>3</v>
      </c>
      <c r="B4" s="115" t="s">
        <v>253</v>
      </c>
      <c r="C4" s="115" t="s">
        <v>254</v>
      </c>
      <c r="D4" s="115" t="s">
        <v>255</v>
      </c>
      <c r="E4" s="124" t="s">
        <v>256</v>
      </c>
      <c r="F4" s="125">
        <v>0</v>
      </c>
      <c r="G4" s="116">
        <v>1.4</v>
      </c>
      <c r="H4" s="117" t="s">
        <v>125</v>
      </c>
      <c r="I4" s="116">
        <v>1.6</v>
      </c>
      <c r="J4" s="121" t="str">
        <f>IFERROR(AVERAGEIF('2022'!C:C,A4,'2022'!AO:AO),"N/A")</f>
        <v>N/A</v>
      </c>
    </row>
    <row r="5" spans="1:10" x14ac:dyDescent="0.25">
      <c r="A5" s="120">
        <v>4</v>
      </c>
      <c r="B5" s="115" t="s">
        <v>257</v>
      </c>
      <c r="C5" s="115" t="s">
        <v>258</v>
      </c>
      <c r="D5" s="115" t="s">
        <v>259</v>
      </c>
      <c r="E5" s="124" t="s">
        <v>260</v>
      </c>
      <c r="F5" s="133">
        <f>IFERROR(AVERAGEIF('2022'!C:C,A5,'2022'!AH:AH),"N/A")</f>
        <v>1.25</v>
      </c>
      <c r="G5" s="116">
        <v>1.3</v>
      </c>
      <c r="H5" s="117">
        <f>IFERROR(AVERAGEIF('2022'!C:C,A5,'2022'!AL:AL),"N/A")</f>
        <v>1.7401365597416933</v>
      </c>
      <c r="I5" s="116">
        <v>1.8</v>
      </c>
      <c r="J5" s="121">
        <f>IFERROR(AVERAGEIF('2022'!C:C,A5,'2022'!AO:AO),"N/A")</f>
        <v>1.7384308249012548</v>
      </c>
    </row>
    <row r="6" spans="1:10" x14ac:dyDescent="0.25">
      <c r="A6" s="120">
        <v>5</v>
      </c>
      <c r="B6" s="115" t="s">
        <v>59</v>
      </c>
      <c r="C6" s="115" t="s">
        <v>261</v>
      </c>
      <c r="D6" s="115" t="s">
        <v>262</v>
      </c>
      <c r="E6" s="124" t="s">
        <v>256</v>
      </c>
      <c r="F6" s="133">
        <f>IFERROR(AVERAGEIF('2022'!C:C,A6,'2022'!AH:AH),"N/A")</f>
        <v>1.25</v>
      </c>
      <c r="G6" s="116">
        <v>1.6</v>
      </c>
      <c r="H6" s="117">
        <f>IFERROR(AVERAGEIF('2022'!C:C,A6,'2022'!AL:AL),"N/A")</f>
        <v>2.9980179118738839</v>
      </c>
      <c r="I6" s="116">
        <v>1.1000000000000001</v>
      </c>
      <c r="J6" s="121">
        <f>IFERROR(AVERAGEIF('2022'!C:C,A6,'2022'!AO:AO),"N/A")</f>
        <v>3.0316921219067585</v>
      </c>
    </row>
    <row r="7" spans="1:10" x14ac:dyDescent="0.25">
      <c r="A7" s="120">
        <v>6</v>
      </c>
      <c r="B7" s="115" t="s">
        <v>49</v>
      </c>
      <c r="C7" s="115" t="s">
        <v>263</v>
      </c>
      <c r="D7" s="115" t="s">
        <v>264</v>
      </c>
      <c r="E7" s="124" t="s">
        <v>256</v>
      </c>
      <c r="F7" s="133">
        <f>IFERROR(AVERAGEIF('2022'!C:C,A7,'2022'!AH:AH),"N/A")</f>
        <v>1.25</v>
      </c>
      <c r="G7" s="116">
        <v>1.3</v>
      </c>
      <c r="H7" s="117">
        <f>IFERROR(AVERAGEIF('2022'!C:C,A7,'2022'!AL:AL),"N/A")</f>
        <v>1.8026036998060155</v>
      </c>
      <c r="I7" s="116">
        <v>1.3</v>
      </c>
      <c r="J7" s="121">
        <f>IFERROR(AVERAGEIF('2022'!C:C,A7,'2022'!AO:AO),"N/A")</f>
        <v>1.9418674202883317</v>
      </c>
    </row>
    <row r="8" spans="1:10" ht="30" x14ac:dyDescent="0.25">
      <c r="A8" s="120">
        <v>7</v>
      </c>
      <c r="B8" s="115" t="s">
        <v>61</v>
      </c>
      <c r="C8" s="115" t="s">
        <v>62</v>
      </c>
      <c r="D8" s="115" t="s">
        <v>265</v>
      </c>
      <c r="E8" s="124">
        <v>150</v>
      </c>
      <c r="F8" s="125">
        <f>IFERROR(AVERAGEIF('2022'!C:C,A8,'2022'!AH:AH),"N/A")</f>
        <v>300</v>
      </c>
      <c r="G8" s="116">
        <v>1.8</v>
      </c>
      <c r="H8" s="117">
        <f>IFERROR(AVERAGEIF('2022'!C:C,A8,'2022'!AL:AL),"N/A")</f>
        <v>2.1697538014805402</v>
      </c>
      <c r="I8" s="116">
        <v>1.2</v>
      </c>
      <c r="J8" s="121">
        <f>IFERROR(AVERAGEIF('2022'!C:C,A8,'2022'!AO:AO),"N/A")</f>
        <v>1.1099455353734524</v>
      </c>
    </row>
    <row r="9" spans="1:10" x14ac:dyDescent="0.25">
      <c r="A9" s="120">
        <v>8</v>
      </c>
      <c r="B9" s="115" t="s">
        <v>266</v>
      </c>
      <c r="C9" s="115" t="s">
        <v>267</v>
      </c>
      <c r="D9" s="115" t="s">
        <v>268</v>
      </c>
      <c r="E9" s="124" t="s">
        <v>269</v>
      </c>
      <c r="F9" s="125">
        <f>IFERROR(AVERAGEIF('2022'!C:C,A9,'2022'!AH:AH),"N/A")</f>
        <v>5</v>
      </c>
      <c r="G9" s="116">
        <v>1.7</v>
      </c>
      <c r="H9" s="117">
        <f>IFERROR(AVERAGEIF('2022'!C:C,A9,'2022'!AL:AL),"N/A")</f>
        <v>2.8008520603834768</v>
      </c>
      <c r="I9" s="116">
        <v>0.5</v>
      </c>
      <c r="J9" s="121">
        <f>IFERROR(AVERAGEIF('2022'!C:C,A9,'2022'!AO:AO),"N/A")</f>
        <v>0.57822467639102182</v>
      </c>
    </row>
    <row r="10" spans="1:10" x14ac:dyDescent="0.25">
      <c r="A10" s="120">
        <v>9</v>
      </c>
      <c r="B10" s="115" t="s">
        <v>270</v>
      </c>
      <c r="C10" s="115" t="s">
        <v>271</v>
      </c>
      <c r="D10" s="115" t="s">
        <v>272</v>
      </c>
      <c r="E10" s="124" t="s">
        <v>273</v>
      </c>
      <c r="F10" s="125">
        <f>IFERROR(AVERAGEIF('2022'!C:C,A10,'2022'!AH:AH),"N/A")</f>
        <v>0</v>
      </c>
      <c r="G10" s="116" t="s">
        <v>125</v>
      </c>
      <c r="H10" s="117" t="str">
        <f>IFERROR(AVERAGEIF('2022'!C:C,A10,'2022'!AL:AL),"N/A")</f>
        <v>N/A</v>
      </c>
      <c r="I10" s="116" t="s">
        <v>125</v>
      </c>
      <c r="J10" s="121" t="str">
        <f>IFERROR(AVERAGEIF('2022'!C:C,A10,'2022'!AO:AO),"N/A")</f>
        <v>N/A</v>
      </c>
    </row>
    <row r="11" spans="1:10" x14ac:dyDescent="0.25">
      <c r="A11" s="120">
        <v>22</v>
      </c>
      <c r="B11" s="115" t="s">
        <v>314</v>
      </c>
      <c r="C11" s="115" t="s">
        <v>315</v>
      </c>
      <c r="D11" s="115" t="s">
        <v>316</v>
      </c>
      <c r="E11" s="124" t="s">
        <v>125</v>
      </c>
      <c r="F11" s="125">
        <f>IFERROR(AVERAGEIF('2022'!C:C,A11,'2022'!AH:AH),"N/A")</f>
        <v>9</v>
      </c>
      <c r="G11" s="116" t="s">
        <v>125</v>
      </c>
      <c r="H11" s="117">
        <f>IFERROR(AVERAGEIF('2022'!C:C,A11,'2022'!AL:AL),"N/A")</f>
        <v>1.9692617066619593</v>
      </c>
      <c r="I11" s="116" t="s">
        <v>125</v>
      </c>
      <c r="J11" s="121">
        <f>IFERROR(AVERAGEIF('2022'!C:C,A11,'2022'!AO:AO),"N/A")</f>
        <v>0.6006277280521678</v>
      </c>
    </row>
    <row r="12" spans="1:10" ht="45" x14ac:dyDescent="0.25">
      <c r="A12" s="120">
        <v>10</v>
      </c>
      <c r="B12" s="115" t="s">
        <v>41</v>
      </c>
      <c r="C12" s="115" t="s">
        <v>274</v>
      </c>
      <c r="D12" s="115" t="s">
        <v>275</v>
      </c>
      <c r="E12" s="124">
        <v>150</v>
      </c>
      <c r="F12" s="125">
        <f>IFERROR(AVERAGEIF('2022'!C:C,A12,'2022'!AH:AH),"N/A")</f>
        <v>150</v>
      </c>
      <c r="G12" s="116">
        <v>2.1</v>
      </c>
      <c r="H12" s="117">
        <f>IFERROR(AVERAGEIF('2022'!C:C,A12,'2022'!AL:AL),"N/A")</f>
        <v>4.0024371021600809</v>
      </c>
      <c r="I12" s="116">
        <v>1.1000000000000001</v>
      </c>
      <c r="J12" s="121">
        <f>IFERROR(AVERAGEIF('2022'!C:C,A12,'2022'!AO:AO),"N/A")</f>
        <v>1.3412609230595758</v>
      </c>
    </row>
    <row r="13" spans="1:10" x14ac:dyDescent="0.25">
      <c r="A13" s="120">
        <v>11</v>
      </c>
      <c r="B13" s="115" t="s">
        <v>39</v>
      </c>
      <c r="C13" s="115" t="s">
        <v>276</v>
      </c>
      <c r="D13" s="115" t="s">
        <v>277</v>
      </c>
      <c r="E13" s="124" t="s">
        <v>278</v>
      </c>
      <c r="F13" s="125">
        <f>IFERROR(AVERAGEIF('2022'!C:C,A13,'2022'!AH:AH),"N/A")</f>
        <v>1</v>
      </c>
      <c r="G13" s="116">
        <v>1.6</v>
      </c>
      <c r="H13" s="117">
        <f>IFERROR(AVERAGEIF('2022'!C:C,A13,'2022'!AL:AL),"N/A")</f>
        <v>6.984499220783742</v>
      </c>
      <c r="I13" s="116">
        <v>1.1000000000000001</v>
      </c>
      <c r="J13" s="121">
        <f>IFERROR(AVERAGEIF('2022'!C:C,A13,'2022'!AO:AO),"N/A")</f>
        <v>3.4605958046422494</v>
      </c>
    </row>
    <row r="14" spans="1:10" x14ac:dyDescent="0.25">
      <c r="A14" s="120">
        <v>12</v>
      </c>
      <c r="B14" s="115" t="s">
        <v>279</v>
      </c>
      <c r="C14" s="115" t="s">
        <v>280</v>
      </c>
      <c r="D14" s="115" t="s">
        <v>281</v>
      </c>
      <c r="E14" s="124">
        <v>350</v>
      </c>
      <c r="F14" s="125">
        <f>IFERROR(AVERAGEIF('2022'!C:C,A14,'2022'!AH:AH),"N/A")</f>
        <v>350</v>
      </c>
      <c r="G14" s="116">
        <v>1.5</v>
      </c>
      <c r="H14" s="117">
        <f>IFERROR(AVERAGEIF('2022'!C:C,A14,'2022'!AL:AL),"N/A")</f>
        <v>1.5342358567495529</v>
      </c>
      <c r="I14" s="116">
        <v>0.9</v>
      </c>
      <c r="J14" s="121">
        <f>IFERROR(AVERAGEIF('2022'!C:C,A14,'2022'!AO:AO),"N/A")</f>
        <v>0.56856388117443801</v>
      </c>
    </row>
    <row r="15" spans="1:10" ht="45" x14ac:dyDescent="0.25">
      <c r="A15" s="120">
        <v>13</v>
      </c>
      <c r="B15" s="115" t="s">
        <v>282</v>
      </c>
      <c r="C15" s="115" t="s">
        <v>283</v>
      </c>
      <c r="D15" s="115" t="s">
        <v>284</v>
      </c>
      <c r="E15" s="124">
        <v>1250</v>
      </c>
      <c r="F15" s="125">
        <f>IFERROR(AVERAGEIF('2022'!C:C,A15,'2022'!AH:AH),"N/A")</f>
        <v>1500</v>
      </c>
      <c r="G15" s="116">
        <v>1.5</v>
      </c>
      <c r="H15" s="117">
        <f>IFERROR(AVERAGEIF('2022'!C:C,A15,'2022'!AL:AL),"N/A")</f>
        <v>1.6988261993983789</v>
      </c>
      <c r="I15" s="116">
        <v>1.1000000000000001</v>
      </c>
      <c r="J15" s="121">
        <f>IFERROR(AVERAGEIF('2022'!C:C,A15,'2022'!AO:AO),"N/A")</f>
        <v>0.54290144058372625</v>
      </c>
    </row>
    <row r="16" spans="1:10" x14ac:dyDescent="0.25">
      <c r="A16" s="120">
        <v>14</v>
      </c>
      <c r="B16" s="115" t="s">
        <v>285</v>
      </c>
      <c r="C16" s="115" t="s">
        <v>286</v>
      </c>
      <c r="D16" s="115" t="s">
        <v>284</v>
      </c>
      <c r="E16" s="124">
        <v>750</v>
      </c>
      <c r="F16" s="125">
        <f>IFERROR(AVERAGEIF('2022'!C:C,A16,'2022'!AH:AH),"N/A")</f>
        <v>900</v>
      </c>
      <c r="G16" s="116">
        <v>1.6</v>
      </c>
      <c r="H16" s="117">
        <f>IFERROR(AVERAGEIF('2022'!C:C,A16,'2022'!AL:AL),"N/A")</f>
        <v>2.5430606867845746</v>
      </c>
      <c r="I16" s="116">
        <v>1.4</v>
      </c>
      <c r="J16" s="121">
        <f>IFERROR(AVERAGEIF('2022'!C:C,A16,'2022'!AO:AO),"N/A")</f>
        <v>1.4386336261439665</v>
      </c>
    </row>
    <row r="17" spans="1:10" ht="30" x14ac:dyDescent="0.25">
      <c r="A17" s="120">
        <v>15</v>
      </c>
      <c r="B17" s="115" t="s">
        <v>287</v>
      </c>
      <c r="C17" s="115" t="s">
        <v>288</v>
      </c>
      <c r="D17" s="115" t="s">
        <v>289</v>
      </c>
      <c r="E17" s="124">
        <v>400</v>
      </c>
      <c r="F17" s="125">
        <f>IFERROR(AVERAGEIF('2022'!C:C,A17,'2022'!AH:AH),"N/A")</f>
        <v>650</v>
      </c>
      <c r="G17" s="116">
        <v>1.2</v>
      </c>
      <c r="H17" s="117">
        <f>IFERROR(AVERAGEIF('2022'!C:C,A17,'2022'!AL:AL),"N/A")</f>
        <v>2.2092817289100779</v>
      </c>
      <c r="I17" s="116">
        <v>1.2</v>
      </c>
      <c r="J17" s="121">
        <f>IFERROR(AVERAGEIF('2022'!C:C,A17,'2022'!AO:AO),"N/A")</f>
        <v>1.5064197143592128</v>
      </c>
    </row>
    <row r="18" spans="1:10" ht="30" x14ac:dyDescent="0.25">
      <c r="A18" s="120">
        <v>16</v>
      </c>
      <c r="B18" s="115" t="s">
        <v>290</v>
      </c>
      <c r="C18" s="115"/>
      <c r="D18" s="115" t="s">
        <v>291</v>
      </c>
      <c r="E18" s="124" t="s">
        <v>128</v>
      </c>
      <c r="F18" s="125">
        <f>IFERROR(AVERAGEIF('2022'!C:C,A18,'2022'!AH:AH),"N/A")</f>
        <v>900</v>
      </c>
      <c r="G18" s="116" t="s">
        <v>125</v>
      </c>
      <c r="H18" s="117">
        <f>IFERROR(AVERAGEIF('2022'!C:C,A18,'2022'!AL:AL),"N/A")</f>
        <v>1.9938489286279573</v>
      </c>
      <c r="I18" s="116" t="s">
        <v>125</v>
      </c>
      <c r="J18" s="121">
        <f>IFERROR(AVERAGEIF('2022'!C:C,A18,'2022'!AO:AO),"N/A")</f>
        <v>1.7481730413200918</v>
      </c>
    </row>
    <row r="19" spans="1:10" x14ac:dyDescent="0.25">
      <c r="A19" s="120">
        <v>17</v>
      </c>
      <c r="B19" s="115" t="s">
        <v>207</v>
      </c>
      <c r="C19" s="115"/>
      <c r="D19" s="115" t="s">
        <v>292</v>
      </c>
      <c r="E19" s="124" t="s">
        <v>128</v>
      </c>
      <c r="F19" s="125">
        <f>IFERROR(AVERAGEIF('2022'!C:C,A19,'2022'!AH:AH),"N/A")</f>
        <v>75</v>
      </c>
      <c r="G19" s="116" t="s">
        <v>125</v>
      </c>
      <c r="H19" s="117">
        <f>IFERROR(AVERAGEIF('2022'!C:C,A19,'2022'!AL:AL),"N/A")</f>
        <v>0.88598805075416254</v>
      </c>
      <c r="I19" s="116" t="s">
        <v>125</v>
      </c>
      <c r="J19" s="121">
        <f>IFERROR(AVERAGEIF('2022'!C:C,A19,'2022'!AO:AO),"N/A")</f>
        <v>0.39393443881516493</v>
      </c>
    </row>
    <row r="20" spans="1:10" x14ac:dyDescent="0.25">
      <c r="A20" s="120">
        <v>18</v>
      </c>
      <c r="B20" s="115" t="s">
        <v>57</v>
      </c>
      <c r="C20" s="115" t="s">
        <v>293</v>
      </c>
      <c r="D20" s="115" t="s">
        <v>294</v>
      </c>
      <c r="E20" s="124">
        <v>25</v>
      </c>
      <c r="F20" s="125">
        <f>AVERAGE('2022'!AH62:AH67)</f>
        <v>25</v>
      </c>
      <c r="G20" s="116">
        <v>1.8</v>
      </c>
      <c r="H20" s="117">
        <f>AVERAGE('2022'!AL62:AL67)</f>
        <v>3.8784903238889981</v>
      </c>
      <c r="I20" s="116">
        <v>3.9</v>
      </c>
      <c r="J20" s="121">
        <f>IFERROR(AVERAGEIF('2022'!C:C,A20,'2022'!AO:AO),"N/A")</f>
        <v>2.8797089811988239</v>
      </c>
    </row>
    <row r="21" spans="1:10" ht="30" x14ac:dyDescent="0.25">
      <c r="A21" s="120">
        <v>19</v>
      </c>
      <c r="B21" s="115" t="s">
        <v>295</v>
      </c>
      <c r="C21" s="115" t="s">
        <v>296</v>
      </c>
      <c r="D21" s="115" t="s">
        <v>297</v>
      </c>
      <c r="E21" s="124">
        <v>300</v>
      </c>
      <c r="F21" s="125">
        <f>IFERROR(AVERAGEIF('2022'!C:C,A21,'2022'!AH:AH),"N/A")</f>
        <v>300</v>
      </c>
      <c r="G21" s="116">
        <v>1.5</v>
      </c>
      <c r="H21" s="117">
        <f>IFERROR(AVERAGEIF('2022'!C:C,A21,'2022'!AL:AL),"N/A")</f>
        <v>2.5355667386370855</v>
      </c>
      <c r="I21" s="116">
        <v>3.8</v>
      </c>
      <c r="J21" s="121">
        <f>IFERROR(AVERAGEIF('2022'!C:C,A21,'2022'!AO:AO),"N/A")</f>
        <v>1.9461312894698317</v>
      </c>
    </row>
    <row r="22" spans="1:10" x14ac:dyDescent="0.25">
      <c r="A22" s="120">
        <v>20</v>
      </c>
      <c r="B22" s="115" t="s">
        <v>211</v>
      </c>
      <c r="C22" s="115"/>
      <c r="D22" s="115" t="s">
        <v>298</v>
      </c>
      <c r="E22" s="124" t="s">
        <v>128</v>
      </c>
      <c r="F22" s="125">
        <f>IFERROR(AVERAGEIF('2022'!C:C,A22,'2022'!AH:AH),"N/A")</f>
        <v>50</v>
      </c>
      <c r="G22" s="116" t="s">
        <v>125</v>
      </c>
      <c r="H22" s="117">
        <f>IFERROR(AVERAGEIF('2022'!C:C,A22,'2022'!AL:AL),"N/A")</f>
        <v>1.4863752158780914</v>
      </c>
      <c r="I22" s="116" t="s">
        <v>125</v>
      </c>
      <c r="J22" s="121">
        <f>IFERROR(AVERAGEIF('2022'!C:C,A22,'2022'!AO:AO),"N/A")</f>
        <v>1.2283933850257542</v>
      </c>
    </row>
    <row r="23" spans="1:10" x14ac:dyDescent="0.25">
      <c r="A23" s="120">
        <v>21</v>
      </c>
      <c r="B23" s="115" t="s">
        <v>299</v>
      </c>
      <c r="C23" s="115" t="s">
        <v>300</v>
      </c>
      <c r="D23" s="115" t="s">
        <v>301</v>
      </c>
      <c r="E23" s="124">
        <v>100</v>
      </c>
      <c r="F23" s="125">
        <f>IFERROR(AVERAGEIF('2022'!C:C,A23,'2022'!AH:AH),"N/A")</f>
        <v>100</v>
      </c>
      <c r="G23" s="116">
        <v>1.1000000000000001</v>
      </c>
      <c r="H23" s="117">
        <f>IFERROR(AVERAGEIF('2022'!C:C,A23,'2022'!AL:AL),"N/A")</f>
        <v>5.723642030181054</v>
      </c>
      <c r="I23" s="116">
        <v>0.7</v>
      </c>
      <c r="J23" s="121">
        <f>IFERROR(AVERAGEIF('2022'!C:C,A23,'2022'!AO:AO),"N/A")</f>
        <v>3.2176740595505109</v>
      </c>
    </row>
    <row r="24" spans="1:10" ht="30" x14ac:dyDescent="0.25">
      <c r="A24" s="120">
        <v>23</v>
      </c>
      <c r="B24" s="115" t="s">
        <v>322</v>
      </c>
      <c r="C24" s="115" t="s">
        <v>323</v>
      </c>
      <c r="D24" s="115" t="s">
        <v>321</v>
      </c>
      <c r="E24" s="124" t="s">
        <v>320</v>
      </c>
      <c r="F24" s="125">
        <f>IFERROR(AVERAGEIF('2022'!C:C,A24,'2022'!AH:AH),"N/A")</f>
        <v>150</v>
      </c>
      <c r="G24" s="116" t="s">
        <v>125</v>
      </c>
      <c r="H24" s="117">
        <f>IFERROR(AVERAGEIF('2022'!C:C,A24,'2022'!AL:AL),"N/A")</f>
        <v>2.8358986366351631</v>
      </c>
      <c r="I24" s="116" t="s">
        <v>125</v>
      </c>
      <c r="J24" s="121">
        <f>IFERROR(AVERAGEIF('2022'!C:C,A24,'2022'!AO:AO),"N/A")</f>
        <v>1.7395034802103309</v>
      </c>
    </row>
    <row r="25" spans="1:10" x14ac:dyDescent="0.25">
      <c r="B25" s="145" t="s">
        <v>324</v>
      </c>
      <c r="C25" s="145"/>
      <c r="D25" s="145"/>
      <c r="E25" s="122" t="s">
        <v>325</v>
      </c>
      <c r="F25" s="122" t="s">
        <v>325</v>
      </c>
      <c r="G25" s="123"/>
      <c r="H25" s="168">
        <f>'2022'!AL92</f>
        <v>1.6760067876906439</v>
      </c>
      <c r="I25" s="123"/>
      <c r="J25" s="168">
        <f>'2022'!AO92</f>
        <v>1.2157549786139437</v>
      </c>
    </row>
  </sheetData>
  <mergeCells count="1">
    <mergeCell ref="B25:D25"/>
  </mergeCells>
  <phoneticPr fontId="29" type="noConversion"/>
  <pageMargins left="0.7" right="0.7" top="0.75" bottom="0.75" header="0.3" footer="0.3"/>
  <pageSetup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J59"/>
  <sheetViews>
    <sheetView workbookViewId="0">
      <selection sqref="A1:H1"/>
    </sheetView>
  </sheetViews>
  <sheetFormatPr defaultRowHeight="15" x14ac:dyDescent="0.25"/>
  <cols>
    <col min="1" max="8" width="13.42578125" customWidth="1"/>
    <col min="9" max="9" width="11" bestFit="1" customWidth="1"/>
    <col min="10" max="10" width="20.42578125" bestFit="1" customWidth="1"/>
  </cols>
  <sheetData>
    <row r="1" spans="1:10" ht="15" customHeight="1" x14ac:dyDescent="0.25">
      <c r="A1" s="146" t="s">
        <v>71</v>
      </c>
      <c r="B1" s="147"/>
      <c r="C1" s="147"/>
      <c r="D1" s="147"/>
      <c r="E1" s="147"/>
      <c r="F1" s="147"/>
      <c r="G1" s="147"/>
      <c r="H1" s="148"/>
    </row>
    <row r="2" spans="1:10" ht="15" customHeight="1" x14ac:dyDescent="0.25">
      <c r="A2" s="146" t="s">
        <v>72</v>
      </c>
      <c r="B2" s="147"/>
      <c r="C2" s="147"/>
      <c r="D2" s="147"/>
      <c r="E2" s="147"/>
      <c r="F2" s="147"/>
      <c r="G2" s="147"/>
      <c r="H2" s="148"/>
    </row>
    <row r="3" spans="1:10" ht="15" customHeight="1" x14ac:dyDescent="0.25">
      <c r="A3" s="146" t="s">
        <v>73</v>
      </c>
      <c r="B3" s="147"/>
      <c r="C3" s="147"/>
      <c r="D3" s="147"/>
      <c r="E3" s="147"/>
      <c r="F3" s="147"/>
      <c r="G3" s="147"/>
      <c r="H3" s="148"/>
    </row>
    <row r="4" spans="1:10" ht="15" customHeight="1" x14ac:dyDescent="0.25">
      <c r="A4" s="146" t="s">
        <v>74</v>
      </c>
      <c r="B4" s="147"/>
      <c r="C4" s="147"/>
      <c r="D4" s="147"/>
      <c r="E4" s="147"/>
      <c r="F4" s="147"/>
      <c r="G4" s="147"/>
      <c r="H4" s="148"/>
    </row>
    <row r="5" spans="1:10" ht="15" customHeight="1" x14ac:dyDescent="0.25">
      <c r="A5" s="149"/>
      <c r="B5" s="150"/>
      <c r="C5" s="150"/>
      <c r="D5" s="150"/>
      <c r="E5" s="150"/>
      <c r="F5" s="150"/>
      <c r="G5" s="150"/>
      <c r="H5" s="151"/>
    </row>
    <row r="6" spans="1:10" ht="60" customHeight="1" x14ac:dyDescent="0.25">
      <c r="A6" s="33"/>
      <c r="B6" s="34" t="s">
        <v>75</v>
      </c>
      <c r="C6" s="34" t="s">
        <v>76</v>
      </c>
      <c r="D6" s="34" t="s">
        <v>77</v>
      </c>
      <c r="E6" s="34" t="s">
        <v>78</v>
      </c>
      <c r="F6" s="34" t="s">
        <v>79</v>
      </c>
      <c r="G6" s="34" t="s">
        <v>80</v>
      </c>
      <c r="H6" s="34" t="s">
        <v>81</v>
      </c>
    </row>
    <row r="7" spans="1:10" ht="15" customHeight="1" x14ac:dyDescent="0.25">
      <c r="A7" s="33"/>
      <c r="B7" s="34"/>
      <c r="C7" s="34"/>
      <c r="D7" s="34"/>
      <c r="E7" s="34"/>
      <c r="F7" s="34"/>
      <c r="G7" s="34"/>
      <c r="H7" s="34"/>
    </row>
    <row r="8" spans="1:10" ht="15" customHeight="1" x14ac:dyDescent="0.25">
      <c r="A8" s="33"/>
      <c r="B8" s="34"/>
      <c r="C8" s="34"/>
      <c r="D8" s="34"/>
      <c r="E8" s="34"/>
      <c r="F8" s="34"/>
      <c r="G8" s="34"/>
      <c r="H8" s="34"/>
    </row>
    <row r="9" spans="1:10" ht="23.1" customHeight="1" x14ac:dyDescent="0.25">
      <c r="A9" s="33"/>
      <c r="B9" s="34"/>
      <c r="C9" s="34"/>
      <c r="D9" s="34"/>
      <c r="E9" s="34"/>
      <c r="F9" s="34"/>
      <c r="G9" s="34"/>
      <c r="H9" s="34"/>
    </row>
    <row r="10" spans="1:10" ht="15" customHeight="1" x14ac:dyDescent="0.25">
      <c r="A10" s="35">
        <v>2021</v>
      </c>
      <c r="B10" s="35">
        <v>1</v>
      </c>
      <c r="C10" s="36">
        <v>0.88445163236383117</v>
      </c>
      <c r="D10" s="36">
        <v>0.88445163236383117</v>
      </c>
      <c r="E10" s="36">
        <f>D10+E9</f>
        <v>0.88445163236383117</v>
      </c>
      <c r="F10" s="45">
        <v>0.1</v>
      </c>
      <c r="G10" s="37">
        <f>E10*(1+F10)</f>
        <v>0.97289679560021436</v>
      </c>
      <c r="H10" s="38">
        <v>0.57011051999999995</v>
      </c>
    </row>
    <row r="11" spans="1:10" ht="15" customHeight="1" x14ac:dyDescent="0.25">
      <c r="A11" s="35">
        <v>2022</v>
      </c>
      <c r="B11" s="35">
        <v>2</v>
      </c>
      <c r="C11" s="36">
        <v>0.81371500359565097</v>
      </c>
      <c r="D11" s="36">
        <v>0.84138131371790315</v>
      </c>
      <c r="E11" s="36">
        <f t="shared" ref="E11:E54" si="0">D11+E10</f>
        <v>1.7258329460817343</v>
      </c>
      <c r="F11" s="45">
        <v>0.1</v>
      </c>
      <c r="G11" s="37">
        <f t="shared" ref="G11:G54" si="1">E11*(1+F11)</f>
        <v>1.8984162406899079</v>
      </c>
      <c r="H11" s="38">
        <v>0.57615605137735904</v>
      </c>
      <c r="J11" s="44"/>
    </row>
    <row r="12" spans="1:10" ht="15" customHeight="1" x14ac:dyDescent="0.25">
      <c r="A12" s="35">
        <v>2023</v>
      </c>
      <c r="B12" s="35">
        <v>3</v>
      </c>
      <c r="C12" s="36">
        <v>0.76115943272610243</v>
      </c>
      <c r="D12" s="36">
        <v>0.81379817445570879</v>
      </c>
      <c r="E12" s="36">
        <f t="shared" si="0"/>
        <v>2.5396311205374431</v>
      </c>
      <c r="F12" s="45">
        <v>0.1</v>
      </c>
      <c r="G12" s="37">
        <f t="shared" si="1"/>
        <v>2.7935942325911878</v>
      </c>
      <c r="H12" s="38">
        <v>0.58293196065410902</v>
      </c>
      <c r="J12" s="44"/>
    </row>
    <row r="13" spans="1:10" ht="15" customHeight="1" x14ac:dyDescent="0.25">
      <c r="A13" s="35">
        <v>2024</v>
      </c>
      <c r="B13" s="35">
        <v>4</v>
      </c>
      <c r="C13" s="36">
        <v>0.75798388048815024</v>
      </c>
      <c r="D13" s="36">
        <v>0.83795671619391321</v>
      </c>
      <c r="E13" s="36">
        <f t="shared" si="0"/>
        <v>3.3775878367313563</v>
      </c>
      <c r="F13" s="45">
        <v>0.1</v>
      </c>
      <c r="G13" s="37">
        <f t="shared" si="1"/>
        <v>3.715346620404492</v>
      </c>
      <c r="H13" s="38">
        <v>0.58975943021046795</v>
      </c>
      <c r="J13" s="44"/>
    </row>
    <row r="14" spans="1:10" ht="15" customHeight="1" x14ac:dyDescent="0.25">
      <c r="A14" s="39">
        <v>2025</v>
      </c>
      <c r="B14" s="35">
        <v>5</v>
      </c>
      <c r="C14" s="36">
        <v>0.77075836546405829</v>
      </c>
      <c r="D14" s="36">
        <v>0.88104968872936473</v>
      </c>
      <c r="E14" s="36">
        <f t="shared" si="0"/>
        <v>4.2586375254607214</v>
      </c>
      <c r="F14" s="45">
        <v>0.1</v>
      </c>
      <c r="G14" s="37">
        <f t="shared" si="1"/>
        <v>4.6845012780067936</v>
      </c>
      <c r="H14" s="38">
        <v>0.61455510299969196</v>
      </c>
      <c r="J14" s="44"/>
    </row>
    <row r="15" spans="1:10" ht="15" customHeight="1" x14ac:dyDescent="0.25">
      <c r="A15" s="35">
        <v>2026</v>
      </c>
      <c r="B15" s="35">
        <v>6</v>
      </c>
      <c r="C15" s="36">
        <v>0.76378755722747937</v>
      </c>
      <c r="D15" s="36">
        <v>0.90276616326625003</v>
      </c>
      <c r="E15" s="36">
        <f t="shared" si="0"/>
        <v>5.1614036887269714</v>
      </c>
      <c r="F15" s="45">
        <v>0.1</v>
      </c>
      <c r="G15" s="37">
        <f t="shared" si="1"/>
        <v>5.6775440575996692</v>
      </c>
      <c r="H15" s="38">
        <v>0.629247118316003</v>
      </c>
      <c r="J15" s="44"/>
    </row>
    <row r="16" spans="1:10" ht="15" customHeight="1" x14ac:dyDescent="0.25">
      <c r="A16" s="35">
        <v>2027</v>
      </c>
      <c r="B16" s="35">
        <v>7</v>
      </c>
      <c r="C16" s="36">
        <v>0.74933499617350652</v>
      </c>
      <c r="D16" s="36">
        <v>0.91579706736600974</v>
      </c>
      <c r="E16" s="36">
        <f t="shared" si="0"/>
        <v>6.0772007560929815</v>
      </c>
      <c r="F16" s="45">
        <v>0.1</v>
      </c>
      <c r="G16" s="37">
        <f t="shared" si="1"/>
        <v>6.6849208317022804</v>
      </c>
      <c r="H16" s="38">
        <v>0.64174689766763904</v>
      </c>
      <c r="J16" s="44"/>
    </row>
    <row r="17" spans="1:10" ht="15" customHeight="1" x14ac:dyDescent="0.25">
      <c r="A17" s="35">
        <v>2028</v>
      </c>
      <c r="B17" s="35">
        <v>8</v>
      </c>
      <c r="C17" s="36">
        <v>0.72707320786116503</v>
      </c>
      <c r="D17" s="36">
        <v>0.91880195964036115</v>
      </c>
      <c r="E17" s="36">
        <f t="shared" si="0"/>
        <v>6.9960027157333426</v>
      </c>
      <c r="F17" s="45">
        <v>0.1</v>
      </c>
      <c r="G17" s="37">
        <f t="shared" si="1"/>
        <v>7.6956029873066774</v>
      </c>
      <c r="H17" s="38">
        <v>0.65668675188056402</v>
      </c>
      <c r="J17" s="44"/>
    </row>
    <row r="18" spans="1:10" ht="15" customHeight="1" x14ac:dyDescent="0.25">
      <c r="A18" s="35">
        <v>2029</v>
      </c>
      <c r="B18" s="35">
        <v>9</v>
      </c>
      <c r="C18" s="36">
        <v>0.7149322508405066</v>
      </c>
      <c r="D18" s="36">
        <v>0.93417706077384166</v>
      </c>
      <c r="E18" s="36">
        <f t="shared" si="0"/>
        <v>7.9301797765071846</v>
      </c>
      <c r="F18" s="45">
        <v>0.1</v>
      </c>
      <c r="G18" s="37">
        <f t="shared" si="1"/>
        <v>8.7231977541579031</v>
      </c>
      <c r="H18" s="38">
        <v>0.671362515855918</v>
      </c>
      <c r="J18" s="44"/>
    </row>
    <row r="19" spans="1:10" ht="15" customHeight="1" x14ac:dyDescent="0.25">
      <c r="A19" s="39">
        <v>2030</v>
      </c>
      <c r="B19" s="35">
        <v>10</v>
      </c>
      <c r="C19" s="36">
        <v>0.70356791294168164</v>
      </c>
      <c r="D19" s="36">
        <v>0.95058481742366419</v>
      </c>
      <c r="E19" s="36">
        <f t="shared" si="0"/>
        <v>8.8807645939308486</v>
      </c>
      <c r="F19" s="45">
        <v>0.1</v>
      </c>
      <c r="G19" s="37">
        <f t="shared" si="1"/>
        <v>9.7688410533239338</v>
      </c>
      <c r="H19" s="38">
        <v>0.70168753835864495</v>
      </c>
      <c r="J19" s="44"/>
    </row>
    <row r="20" spans="1:10" ht="15" customHeight="1" x14ac:dyDescent="0.25">
      <c r="A20" s="35">
        <v>2031</v>
      </c>
      <c r="B20" s="35">
        <v>11</v>
      </c>
      <c r="C20" s="36">
        <v>0.6851545172570157</v>
      </c>
      <c r="D20" s="36">
        <v>0.95718065546171105</v>
      </c>
      <c r="E20" s="36">
        <f t="shared" si="0"/>
        <v>9.8379452493925594</v>
      </c>
      <c r="F20" s="45">
        <v>0.1</v>
      </c>
      <c r="G20" s="37">
        <f t="shared" si="1"/>
        <v>10.821739774331816</v>
      </c>
      <c r="H20" s="38">
        <v>0.71753017552309395</v>
      </c>
      <c r="J20" s="44"/>
    </row>
    <row r="21" spans="1:10" ht="15" customHeight="1" x14ac:dyDescent="0.25">
      <c r="A21" s="35">
        <v>2032</v>
      </c>
      <c r="B21" s="35">
        <v>12</v>
      </c>
      <c r="C21" s="36">
        <v>0.67625670713780228</v>
      </c>
      <c r="D21" s="36">
        <v>0.97687166301819628</v>
      </c>
      <c r="E21" s="36">
        <f t="shared" si="0"/>
        <v>10.814816912410755</v>
      </c>
      <c r="F21" s="45">
        <v>0.1</v>
      </c>
      <c r="G21" s="37">
        <f t="shared" si="1"/>
        <v>11.896298603651832</v>
      </c>
      <c r="H21" s="38">
        <v>0.73540219867662504</v>
      </c>
      <c r="J21" s="44"/>
    </row>
    <row r="22" spans="1:10" ht="15" customHeight="1" x14ac:dyDescent="0.25">
      <c r="A22" s="35">
        <v>2033</v>
      </c>
      <c r="B22" s="35">
        <v>13</v>
      </c>
      <c r="C22" s="36">
        <v>0.66587008865652375</v>
      </c>
      <c r="D22" s="36">
        <v>0.99457141181766762</v>
      </c>
      <c r="E22" s="36">
        <f t="shared" si="0"/>
        <v>11.809388324228422</v>
      </c>
      <c r="F22" s="45">
        <v>0.1</v>
      </c>
      <c r="G22" s="37">
        <f t="shared" si="1"/>
        <v>12.990327156651265</v>
      </c>
      <c r="H22" s="38">
        <v>0.75283800222888697</v>
      </c>
      <c r="J22" s="44"/>
    </row>
    <row r="23" spans="1:10" ht="15" customHeight="1" x14ac:dyDescent="0.25">
      <c r="A23" s="35">
        <v>2034</v>
      </c>
      <c r="B23" s="35">
        <v>14</v>
      </c>
      <c r="C23" s="36">
        <v>0.64881311732878166</v>
      </c>
      <c r="D23" s="36">
        <v>1.0020436159092017</v>
      </c>
      <c r="E23" s="36">
        <f t="shared" si="0"/>
        <v>12.811431940137624</v>
      </c>
      <c r="F23" s="45">
        <v>0.1</v>
      </c>
      <c r="G23" s="37">
        <f t="shared" si="1"/>
        <v>14.092575134151387</v>
      </c>
      <c r="H23" s="38">
        <v>0.77211629283704597</v>
      </c>
      <c r="J23" s="44"/>
    </row>
    <row r="24" spans="1:10" ht="15" customHeight="1" x14ac:dyDescent="0.25">
      <c r="A24" s="35">
        <v>2035</v>
      </c>
      <c r="B24" s="35">
        <v>15</v>
      </c>
      <c r="C24" s="36">
        <v>0.63835970106897866</v>
      </c>
      <c r="D24" s="36">
        <v>1.0194196609012849</v>
      </c>
      <c r="E24" s="36">
        <f t="shared" si="0"/>
        <v>13.830851601038908</v>
      </c>
      <c r="F24" s="45">
        <v>0.1</v>
      </c>
      <c r="G24" s="37">
        <f t="shared" si="1"/>
        <v>15.213936761142801</v>
      </c>
      <c r="H24" s="38">
        <v>0.81064038086745605</v>
      </c>
      <c r="J24" s="44"/>
    </row>
    <row r="25" spans="1:10" ht="15" customHeight="1" x14ac:dyDescent="0.25">
      <c r="A25" s="35">
        <v>2036</v>
      </c>
      <c r="B25" s="35">
        <v>16</v>
      </c>
      <c r="C25" s="36">
        <v>0.62567375799839731</v>
      </c>
      <c r="D25" s="36">
        <v>1.0331324949498273</v>
      </c>
      <c r="E25" s="36">
        <f t="shared" si="0"/>
        <v>14.863984095988735</v>
      </c>
      <c r="F25" s="45">
        <v>0.1</v>
      </c>
      <c r="G25" s="37">
        <f t="shared" si="1"/>
        <v>16.350382505587611</v>
      </c>
      <c r="H25" s="38">
        <v>0.83101695530386399</v>
      </c>
      <c r="J25" s="44"/>
    </row>
    <row r="26" spans="1:10" ht="15" customHeight="1" x14ac:dyDescent="0.25">
      <c r="A26" s="35">
        <v>2037</v>
      </c>
      <c r="B26" s="35">
        <v>17</v>
      </c>
      <c r="C26" s="36">
        <v>0.61894833994618093</v>
      </c>
      <c r="D26" s="36">
        <v>1.0567761970079774</v>
      </c>
      <c r="E26" s="36">
        <f t="shared" si="0"/>
        <v>15.920760292996713</v>
      </c>
      <c r="F26" s="45">
        <v>0.1</v>
      </c>
      <c r="G26" s="37">
        <f t="shared" si="1"/>
        <v>17.512836322296387</v>
      </c>
      <c r="H26" s="38">
        <v>0.85329665766642104</v>
      </c>
      <c r="J26" s="44"/>
    </row>
    <row r="27" spans="1:10" ht="15" customHeight="1" x14ac:dyDescent="0.25">
      <c r="A27" s="35">
        <v>2038</v>
      </c>
      <c r="B27" s="35">
        <v>18</v>
      </c>
      <c r="C27" s="36">
        <v>0.61107179398866485</v>
      </c>
      <c r="D27" s="36">
        <v>1.078801140190391</v>
      </c>
      <c r="E27" s="36">
        <f t="shared" si="0"/>
        <v>16.999561433187104</v>
      </c>
      <c r="F27" s="45">
        <v>0.1</v>
      </c>
      <c r="G27" s="37">
        <f t="shared" si="1"/>
        <v>18.699517576505816</v>
      </c>
      <c r="H27" s="38">
        <v>0.87508084147130905</v>
      </c>
      <c r="J27" s="44"/>
    </row>
    <row r="28" spans="1:10" ht="15" customHeight="1" x14ac:dyDescent="0.25">
      <c r="A28" s="35">
        <v>2039</v>
      </c>
      <c r="B28" s="35">
        <v>19</v>
      </c>
      <c r="C28" s="36">
        <v>0.60374811403143069</v>
      </c>
      <c r="D28" s="36">
        <v>1.1021113748980613</v>
      </c>
      <c r="E28" s="36">
        <f t="shared" si="0"/>
        <v>18.101672808085166</v>
      </c>
      <c r="F28" s="45">
        <v>0.1</v>
      </c>
      <c r="G28" s="37">
        <f t="shared" si="1"/>
        <v>19.911840088893683</v>
      </c>
      <c r="H28" s="38">
        <v>0.897067740402681</v>
      </c>
      <c r="J28" s="44"/>
    </row>
    <row r="29" spans="1:10" ht="15" customHeight="1" x14ac:dyDescent="0.25">
      <c r="A29" s="39">
        <v>2040</v>
      </c>
      <c r="B29" s="35">
        <v>20</v>
      </c>
      <c r="C29" s="36">
        <v>0.59154544035996659</v>
      </c>
      <c r="D29" s="36">
        <v>1.1165504413430951</v>
      </c>
      <c r="E29" s="36">
        <f t="shared" si="0"/>
        <v>19.218223249428259</v>
      </c>
      <c r="F29" s="45">
        <v>0.1</v>
      </c>
      <c r="G29" s="37">
        <f t="shared" si="1"/>
        <v>21.140045574371086</v>
      </c>
      <c r="H29" s="38">
        <v>0.91930355234543903</v>
      </c>
      <c r="J29" s="44"/>
    </row>
    <row r="30" spans="1:10" ht="15" customHeight="1" x14ac:dyDescent="0.25">
      <c r="A30" s="35">
        <v>2041</v>
      </c>
      <c r="B30" s="35">
        <v>21</v>
      </c>
      <c r="C30" s="36">
        <v>0.58353612105141783</v>
      </c>
      <c r="D30" s="36">
        <v>1.1388814501699571</v>
      </c>
      <c r="E30" s="36">
        <f t="shared" si="0"/>
        <v>20.357104699598217</v>
      </c>
      <c r="F30" s="45">
        <v>0.1</v>
      </c>
      <c r="G30" s="37">
        <f t="shared" si="1"/>
        <v>22.392815169558041</v>
      </c>
      <c r="H30" s="38">
        <v>0.96256067436903203</v>
      </c>
      <c r="J30" s="44"/>
    </row>
    <row r="31" spans="1:10" ht="15" customHeight="1" x14ac:dyDescent="0.25">
      <c r="A31" s="35">
        <v>2042</v>
      </c>
      <c r="B31" s="35">
        <v>22</v>
      </c>
      <c r="C31" s="36">
        <v>0.57563524513776232</v>
      </c>
      <c r="D31" s="36">
        <v>1.1616590791733563</v>
      </c>
      <c r="E31" s="36">
        <f t="shared" si="0"/>
        <v>21.518763778771575</v>
      </c>
      <c r="F31" s="45">
        <v>0.1</v>
      </c>
      <c r="G31" s="37">
        <f t="shared" si="1"/>
        <v>23.670640156648734</v>
      </c>
      <c r="H31" s="38">
        <v>0.98552212265613304</v>
      </c>
      <c r="J31" s="44"/>
    </row>
    <row r="32" spans="1:10" ht="15" customHeight="1" x14ac:dyDescent="0.25">
      <c r="A32" s="35">
        <v>2043</v>
      </c>
      <c r="B32" s="35">
        <v>23</v>
      </c>
      <c r="C32" s="36">
        <v>0.56784134433318922</v>
      </c>
      <c r="D32" s="36">
        <v>1.1848922607568235</v>
      </c>
      <c r="E32" s="36">
        <f t="shared" si="0"/>
        <v>22.703656039528397</v>
      </c>
      <c r="F32" s="45">
        <v>0.1</v>
      </c>
      <c r="G32" s="37">
        <f t="shared" si="1"/>
        <v>24.97402164348124</v>
      </c>
      <c r="H32" s="38">
        <v>1.0086464310452701</v>
      </c>
      <c r="J32" s="44"/>
    </row>
    <row r="33" spans="1:10" ht="15" customHeight="1" x14ac:dyDescent="0.25">
      <c r="A33" s="35">
        <v>2044</v>
      </c>
      <c r="B33" s="35">
        <v>24</v>
      </c>
      <c r="C33" s="36">
        <v>0.56015297023196597</v>
      </c>
      <c r="D33" s="36">
        <v>1.2085901059719599</v>
      </c>
      <c r="E33" s="36">
        <f t="shared" si="0"/>
        <v>23.912246145500358</v>
      </c>
      <c r="F33" s="45">
        <v>0.1</v>
      </c>
      <c r="G33" s="37">
        <f t="shared" si="1"/>
        <v>26.303470760050395</v>
      </c>
      <c r="H33" s="38">
        <v>1.03195880055061</v>
      </c>
      <c r="J33" s="44"/>
    </row>
    <row r="34" spans="1:10" ht="15" customHeight="1" x14ac:dyDescent="0.25">
      <c r="A34" s="35">
        <v>2045</v>
      </c>
      <c r="B34" s="35">
        <v>25</v>
      </c>
      <c r="C34" s="36">
        <v>0.55256869403927023</v>
      </c>
      <c r="D34" s="36">
        <v>1.2327619080913992</v>
      </c>
      <c r="E34" s="36">
        <f t="shared" si="0"/>
        <v>25.145008053591756</v>
      </c>
      <c r="F34" s="45">
        <v>0.1</v>
      </c>
      <c r="G34" s="37">
        <f t="shared" si="1"/>
        <v>27.659508858950932</v>
      </c>
      <c r="H34" s="38">
        <v>1.0554809412422199</v>
      </c>
      <c r="J34" s="44"/>
    </row>
    <row r="35" spans="1:10" ht="15" customHeight="1" x14ac:dyDescent="0.25">
      <c r="A35" s="35">
        <v>2046</v>
      </c>
      <c r="B35" s="35">
        <v>26</v>
      </c>
      <c r="C35" s="36">
        <v>0.54508710630566315</v>
      </c>
      <c r="D35" s="36">
        <v>1.2574171462532271</v>
      </c>
      <c r="E35" s="36">
        <f t="shared" si="0"/>
        <v>26.402425199844984</v>
      </c>
      <c r="F35" s="45">
        <v>0.1</v>
      </c>
      <c r="G35" s="37">
        <f t="shared" si="1"/>
        <v>29.042667719829485</v>
      </c>
      <c r="H35" s="38">
        <v>1.1026933043184499</v>
      </c>
      <c r="J35" s="44"/>
    </row>
    <row r="36" spans="1:10" ht="15" customHeight="1" x14ac:dyDescent="0.25">
      <c r="A36" s="35">
        <v>2047</v>
      </c>
      <c r="B36" s="35">
        <v>27</v>
      </c>
      <c r="C36" s="36">
        <v>0.53770681666516085</v>
      </c>
      <c r="D36" s="36">
        <v>1.2825654891782916</v>
      </c>
      <c r="E36" s="36">
        <f t="shared" si="0"/>
        <v>27.684990689023277</v>
      </c>
      <c r="F36" s="45">
        <v>0.1</v>
      </c>
      <c r="G36" s="37">
        <f t="shared" si="1"/>
        <v>30.453489757925606</v>
      </c>
      <c r="H36" s="38">
        <v>1.1272110200121499</v>
      </c>
      <c r="J36" s="44"/>
    </row>
    <row r="37" spans="1:10" ht="15" customHeight="1" x14ac:dyDescent="0.25">
      <c r="A37" s="35">
        <v>2048</v>
      </c>
      <c r="B37" s="35">
        <v>28</v>
      </c>
      <c r="C37" s="36">
        <v>0.53042645357685103</v>
      </c>
      <c r="D37" s="36">
        <v>1.3082167989618574</v>
      </c>
      <c r="E37" s="36">
        <f t="shared" si="0"/>
        <v>28.993207487985135</v>
      </c>
      <c r="F37" s="45">
        <v>0.1</v>
      </c>
      <c r="G37" s="37">
        <f t="shared" si="1"/>
        <v>31.892528236783651</v>
      </c>
      <c r="H37" s="38">
        <v>1.1519943575740099</v>
      </c>
      <c r="J37" s="44"/>
    </row>
    <row r="38" spans="1:10" ht="15" customHeight="1" x14ac:dyDescent="0.25">
      <c r="A38" s="35">
        <v>2049</v>
      </c>
      <c r="B38" s="35">
        <v>29</v>
      </c>
      <c r="C38" s="36">
        <v>0.52324466407000791</v>
      </c>
      <c r="D38" s="36">
        <v>1.3343811349410946</v>
      </c>
      <c r="E38" s="36">
        <f t="shared" si="0"/>
        <v>30.327588622926228</v>
      </c>
      <c r="F38" s="45">
        <v>0.1</v>
      </c>
      <c r="G38" s="37">
        <f t="shared" si="1"/>
        <v>33.360347485218853</v>
      </c>
      <c r="H38" s="38">
        <v>1.1770567561259799</v>
      </c>
      <c r="J38" s="44"/>
    </row>
    <row r="39" spans="1:10" ht="15" customHeight="1" x14ac:dyDescent="0.25">
      <c r="A39" s="39">
        <v>2050</v>
      </c>
      <c r="B39" s="35">
        <v>30</v>
      </c>
      <c r="C39" s="36">
        <v>0.51616011349265778</v>
      </c>
      <c r="D39" s="36">
        <v>1.3610687576399165</v>
      </c>
      <c r="E39" s="36">
        <f t="shared" si="0"/>
        <v>31.688657380566145</v>
      </c>
      <c r="F39" s="45">
        <v>0.1</v>
      </c>
      <c r="G39" s="37">
        <f t="shared" si="1"/>
        <v>34.857523118622765</v>
      </c>
      <c r="H39" s="38">
        <v>1.2024103291102399</v>
      </c>
      <c r="J39" s="44"/>
    </row>
    <row r="40" spans="1:10" ht="15" customHeight="1" x14ac:dyDescent="0.25">
      <c r="A40" s="35">
        <v>2051</v>
      </c>
      <c r="B40" s="35">
        <v>31</v>
      </c>
      <c r="C40" s="36">
        <v>0.50917148526355016</v>
      </c>
      <c r="D40" s="36">
        <v>1.3882901327927148</v>
      </c>
      <c r="E40" s="36">
        <f t="shared" si="0"/>
        <v>33.07694751335886</v>
      </c>
      <c r="F40" s="45">
        <v>0.1</v>
      </c>
      <c r="G40" s="37">
        <f t="shared" si="1"/>
        <v>36.384642264694747</v>
      </c>
      <c r="H40" s="38">
        <v>1.2541951448828901</v>
      </c>
      <c r="J40" s="44"/>
    </row>
    <row r="41" spans="1:10" ht="15" customHeight="1" x14ac:dyDescent="0.25">
      <c r="A41" s="35">
        <v>2052</v>
      </c>
      <c r="B41" s="35">
        <v>32</v>
      </c>
      <c r="C41" s="36">
        <v>0.50227748062748667</v>
      </c>
      <c r="D41" s="36">
        <v>1.4160559354485691</v>
      </c>
      <c r="E41" s="36">
        <f t="shared" si="0"/>
        <v>34.493003448807428</v>
      </c>
      <c r="F41" s="45">
        <v>0.1</v>
      </c>
      <c r="G41" s="37">
        <f t="shared" si="1"/>
        <v>37.942303793688176</v>
      </c>
      <c r="H41" s="38">
        <v>1.2807156499932999</v>
      </c>
      <c r="J41" s="44"/>
    </row>
    <row r="42" spans="1:10" ht="15" customHeight="1" x14ac:dyDescent="0.25">
      <c r="A42" s="35">
        <v>2053</v>
      </c>
      <c r="B42" s="35">
        <v>33</v>
      </c>
      <c r="C42" s="36">
        <v>0.49547681841396168</v>
      </c>
      <c r="D42" s="36">
        <v>1.4443770541575405</v>
      </c>
      <c r="E42" s="36">
        <f t="shared" si="0"/>
        <v>35.93738050296497</v>
      </c>
      <c r="F42" s="45">
        <v>0.1</v>
      </c>
      <c r="G42" s="37">
        <f t="shared" si="1"/>
        <v>39.531118553261472</v>
      </c>
      <c r="H42" s="38">
        <v>1.30756451467569</v>
      </c>
      <c r="J42" s="44"/>
    </row>
    <row r="43" spans="1:10" ht="15" customHeight="1" x14ac:dyDescent="0.25">
      <c r="A43" s="35">
        <v>2054</v>
      </c>
      <c r="B43" s="35">
        <v>34</v>
      </c>
      <c r="C43" s="36">
        <v>0.48876823479907244</v>
      </c>
      <c r="D43" s="36">
        <v>1.4732645952406913</v>
      </c>
      <c r="E43" s="36">
        <f t="shared" si="0"/>
        <v>37.410645098205663</v>
      </c>
      <c r="F43" s="45">
        <v>0.1</v>
      </c>
      <c r="G43" s="37">
        <f t="shared" si="1"/>
        <v>41.151709608026231</v>
      </c>
      <c r="H43" s="38">
        <v>1.33475052162326</v>
      </c>
      <c r="J43" s="44"/>
    </row>
    <row r="44" spans="1:10" ht="15" customHeight="1" x14ac:dyDescent="0.25">
      <c r="A44" s="35">
        <v>2055</v>
      </c>
      <c r="B44" s="35">
        <v>35</v>
      </c>
      <c r="C44" s="36">
        <v>0.48215048307065178</v>
      </c>
      <c r="D44" s="36">
        <v>1.5027298871455053</v>
      </c>
      <c r="E44" s="36">
        <f t="shared" si="0"/>
        <v>38.913374985351169</v>
      </c>
      <c r="F44" s="45">
        <v>0.1</v>
      </c>
      <c r="G44" s="37">
        <f t="shared" si="1"/>
        <v>42.804712483886291</v>
      </c>
      <c r="H44" s="38">
        <v>1.3622818643825101</v>
      </c>
      <c r="J44" s="44"/>
    </row>
    <row r="45" spans="1:10" ht="15" customHeight="1" x14ac:dyDescent="0.25">
      <c r="A45" s="35">
        <v>2056</v>
      </c>
      <c r="B45" s="35">
        <v>36</v>
      </c>
      <c r="C45" s="36">
        <v>0.47562233339658105</v>
      </c>
      <c r="D45" s="36">
        <v>1.5327844848884153</v>
      </c>
      <c r="E45" s="36">
        <f t="shared" si="0"/>
        <v>40.446159470239586</v>
      </c>
      <c r="F45" s="45">
        <v>0.1</v>
      </c>
      <c r="G45" s="37">
        <f t="shared" si="1"/>
        <v>44.490775417263549</v>
      </c>
      <c r="H45" s="38">
        <v>1.3901662306967699</v>
      </c>
      <c r="J45" s="44"/>
    </row>
    <row r="46" spans="1:10" ht="15" customHeight="1" x14ac:dyDescent="0.25">
      <c r="A46" s="35">
        <v>2057</v>
      </c>
      <c r="B46" s="35">
        <v>37</v>
      </c>
      <c r="C46" s="36">
        <v>0.46918257259624058</v>
      </c>
      <c r="D46" s="36">
        <v>1.5634401745861837</v>
      </c>
      <c r="E46" s="36">
        <f t="shared" si="0"/>
        <v>42.009599644825769</v>
      </c>
      <c r="F46" s="45">
        <v>0.1</v>
      </c>
      <c r="G46" s="37">
        <f t="shared" si="1"/>
        <v>46.210559609308348</v>
      </c>
      <c r="H46" s="38">
        <v>1.41841087242749</v>
      </c>
      <c r="J46" s="44"/>
    </row>
    <row r="47" spans="1:10" ht="15" customHeight="1" x14ac:dyDescent="0.25">
      <c r="A47" s="35">
        <v>2058</v>
      </c>
      <c r="B47" s="35">
        <v>38</v>
      </c>
      <c r="C47" s="36">
        <v>0.46283000391505358</v>
      </c>
      <c r="D47" s="36">
        <v>1.5947089780779073</v>
      </c>
      <c r="E47" s="36">
        <f t="shared" si="0"/>
        <v>43.604308622903673</v>
      </c>
      <c r="F47" s="45">
        <v>0.1</v>
      </c>
      <c r="G47" s="37">
        <f t="shared" si="1"/>
        <v>47.964739485194045</v>
      </c>
      <c r="H47" s="38">
        <v>1.4470226645295901</v>
      </c>
      <c r="J47" s="44"/>
    </row>
    <row r="48" spans="1:10" ht="15" customHeight="1" x14ac:dyDescent="0.25">
      <c r="A48" s="35">
        <v>2059</v>
      </c>
      <c r="B48" s="35">
        <v>39</v>
      </c>
      <c r="C48" s="36">
        <v>0.45656344680208383</v>
      </c>
      <c r="D48" s="36">
        <v>1.6266031576394655</v>
      </c>
      <c r="E48" s="36">
        <f t="shared" si="0"/>
        <v>45.230911780543138</v>
      </c>
      <c r="F48" s="45">
        <v>0.1</v>
      </c>
      <c r="G48" s="37">
        <f t="shared" si="1"/>
        <v>49.754002958597454</v>
      </c>
      <c r="H48" s="38">
        <v>1.4760081550492099</v>
      </c>
      <c r="J48" s="44"/>
    </row>
    <row r="49" spans="1:10" ht="15" customHeight="1" x14ac:dyDescent="0.25">
      <c r="A49" s="39">
        <v>2060</v>
      </c>
      <c r="B49" s="35">
        <v>40</v>
      </c>
      <c r="C49" s="36">
        <v>0.45038173669064363</v>
      </c>
      <c r="D49" s="36">
        <v>1.6591352207922549</v>
      </c>
      <c r="E49" s="36">
        <f t="shared" si="0"/>
        <v>46.890047001335397</v>
      </c>
      <c r="F49" s="45">
        <v>0.1</v>
      </c>
      <c r="G49" s="37">
        <f t="shared" si="1"/>
        <v>51.579051701468941</v>
      </c>
      <c r="H49" s="38">
        <v>1.5053736077183399</v>
      </c>
      <c r="J49" s="44"/>
    </row>
    <row r="50" spans="1:10" ht="15" customHeight="1" x14ac:dyDescent="0.25">
      <c r="A50" s="35">
        <v>2061</v>
      </c>
      <c r="B50" s="35">
        <v>41</v>
      </c>
      <c r="C50" s="36">
        <v>0.44428372478187284</v>
      </c>
      <c r="D50" s="36">
        <v>1.6923179252081</v>
      </c>
      <c r="E50" s="36">
        <f t="shared" si="0"/>
        <v>48.582364926543498</v>
      </c>
      <c r="F50" s="45">
        <v>0.1</v>
      </c>
      <c r="G50" s="37">
        <f t="shared" si="1"/>
        <v>53.440601419197854</v>
      </c>
      <c r="H50" s="38">
        <v>1.53512503841349</v>
      </c>
      <c r="J50" s="44"/>
    </row>
    <row r="51" spans="1:10" ht="15" customHeight="1" x14ac:dyDescent="0.25">
      <c r="A51" s="35">
        <v>2062</v>
      </c>
      <c r="B51" s="35">
        <v>42</v>
      </c>
      <c r="C51" s="36">
        <v>0.43826827783124789</v>
      </c>
      <c r="D51" s="36">
        <v>1.7261642837122619</v>
      </c>
      <c r="E51" s="36">
        <f t="shared" si="0"/>
        <v>50.308529210255763</v>
      </c>
      <c r="F51" s="45">
        <v>0.1</v>
      </c>
      <c r="G51" s="37">
        <f t="shared" si="1"/>
        <v>55.339382131281347</v>
      </c>
      <c r="H51" s="38">
        <v>1.5652682465040999</v>
      </c>
      <c r="J51" s="44"/>
    </row>
    <row r="52" spans="1:10" ht="15" customHeight="1" x14ac:dyDescent="0.25">
      <c r="A52" s="35">
        <v>2063</v>
      </c>
      <c r="B52" s="35">
        <v>43</v>
      </c>
      <c r="C52" s="36">
        <v>0.43233427793798146</v>
      </c>
      <c r="D52" s="36">
        <v>1.7606875693865072</v>
      </c>
      <c r="E52" s="36">
        <f t="shared" si="0"/>
        <v>52.069216779642268</v>
      </c>
      <c r="F52" s="45">
        <v>0.1</v>
      </c>
      <c r="G52" s="37">
        <f t="shared" si="1"/>
        <v>57.2761384576065</v>
      </c>
      <c r="H52" s="38">
        <v>1.5958088419255401</v>
      </c>
      <c r="J52" s="44"/>
    </row>
    <row r="53" spans="1:10" ht="15" customHeight="1" x14ac:dyDescent="0.25">
      <c r="A53" s="35">
        <v>2064</v>
      </c>
      <c r="B53" s="35">
        <v>44</v>
      </c>
      <c r="C53" s="36">
        <v>0.42648062233727368</v>
      </c>
      <c r="D53" s="36">
        <v>1.7959013207742374</v>
      </c>
      <c r="E53" s="36">
        <f t="shared" si="0"/>
        <v>53.865118100416503</v>
      </c>
      <c r="F53" s="45">
        <v>0.1</v>
      </c>
      <c r="G53" s="37">
        <f t="shared" si="1"/>
        <v>59.251629910458156</v>
      </c>
      <c r="H53" s="38">
        <v>1.62675226865943</v>
      </c>
      <c r="J53" s="44"/>
    </row>
    <row r="54" spans="1:10" ht="15" customHeight="1" x14ac:dyDescent="0.25">
      <c r="A54" s="35">
        <v>2065</v>
      </c>
      <c r="B54" s="35">
        <v>45</v>
      </c>
      <c r="C54" s="36">
        <v>0.42070622319537654</v>
      </c>
      <c r="D54" s="36">
        <v>1.8318193471897222</v>
      </c>
      <c r="E54" s="36">
        <f t="shared" si="0"/>
        <v>55.696937447606224</v>
      </c>
      <c r="F54" s="45">
        <v>0.1</v>
      </c>
      <c r="G54" s="37">
        <f t="shared" si="1"/>
        <v>61.266631192366852</v>
      </c>
      <c r="H54" s="38">
        <v>1.65810382518273</v>
      </c>
      <c r="J54" s="44"/>
    </row>
    <row r="55" spans="1:10" ht="15" customHeight="1" x14ac:dyDescent="0.25">
      <c r="A55" s="43"/>
      <c r="B55" s="43"/>
      <c r="C55" s="43"/>
      <c r="D55" s="43"/>
      <c r="E55" s="43"/>
      <c r="F55" s="43"/>
      <c r="G55" s="43"/>
      <c r="H55" s="43"/>
    </row>
    <row r="56" spans="1:10" ht="15" customHeight="1" x14ac:dyDescent="0.25">
      <c r="A56" s="42"/>
      <c r="B56" s="152" t="s">
        <v>82</v>
      </c>
      <c r="C56" s="153"/>
      <c r="D56" s="154"/>
      <c r="E56" s="40">
        <v>3.4000000000000002E-2</v>
      </c>
      <c r="F56" s="155"/>
      <c r="G56" s="156"/>
      <c r="H56" s="157"/>
    </row>
    <row r="57" spans="1:10" ht="15" customHeight="1" x14ac:dyDescent="0.25">
      <c r="A57" s="42"/>
      <c r="B57" s="152" t="s">
        <v>83</v>
      </c>
      <c r="C57" s="153"/>
      <c r="D57" s="154"/>
      <c r="E57" s="40">
        <v>3.4000000000000002E-2</v>
      </c>
      <c r="F57" s="155"/>
      <c r="G57" s="156"/>
      <c r="H57" s="157"/>
    </row>
    <row r="58" spans="1:10" ht="15" customHeight="1" x14ac:dyDescent="0.25">
      <c r="A58" s="42"/>
      <c r="B58" s="152" t="s">
        <v>84</v>
      </c>
      <c r="C58" s="153"/>
      <c r="D58" s="154"/>
      <c r="E58" s="40">
        <v>4.1700000000000001E-2</v>
      </c>
      <c r="F58" s="155"/>
      <c r="G58" s="156"/>
      <c r="H58" s="157"/>
    </row>
    <row r="59" spans="1:10" ht="15" customHeight="1" x14ac:dyDescent="0.25">
      <c r="A59" s="42"/>
      <c r="B59" s="152" t="s">
        <v>85</v>
      </c>
      <c r="C59" s="153"/>
      <c r="D59" s="154"/>
      <c r="E59" s="40">
        <v>0.02</v>
      </c>
      <c r="F59" s="158" t="s">
        <v>86</v>
      </c>
      <c r="G59" s="159"/>
      <c r="H59" s="160"/>
    </row>
  </sheetData>
  <mergeCells count="13">
    <mergeCell ref="B58:D58"/>
    <mergeCell ref="F58:H58"/>
    <mergeCell ref="B59:D59"/>
    <mergeCell ref="F59:H59"/>
    <mergeCell ref="B56:D56"/>
    <mergeCell ref="F56:H56"/>
    <mergeCell ref="B57:D57"/>
    <mergeCell ref="F57:H57"/>
    <mergeCell ref="A1:H1"/>
    <mergeCell ref="A2:H2"/>
    <mergeCell ref="A3:H3"/>
    <mergeCell ref="A4:H4"/>
    <mergeCell ref="A5:H5"/>
  </mergeCells>
  <pageMargins left="0" right="0" top="0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5A0BD-2187-441F-8AAB-3D3D497B89C1}">
  <dimension ref="A1:X93"/>
  <sheetViews>
    <sheetView showGridLines="0" topLeftCell="D1" zoomScale="80" zoomScaleNormal="90" workbookViewId="0">
      <selection activeCell="C1" sqref="A1:C1048576"/>
    </sheetView>
  </sheetViews>
  <sheetFormatPr defaultRowHeight="15" x14ac:dyDescent="0.25"/>
  <cols>
    <col min="1" max="1" width="7.42578125" hidden="1" customWidth="1"/>
    <col min="2" max="3" width="16.5703125" hidden="1" customWidth="1"/>
    <col min="4" max="4" width="39.85546875" bestFit="1" customWidth="1"/>
    <col min="5" max="5" width="12.140625" customWidth="1"/>
    <col min="6" max="6" width="49.42578125" customWidth="1"/>
    <col min="7" max="7" width="10.140625" bestFit="1" customWidth="1"/>
    <col min="8" max="8" width="44.5703125" bestFit="1" customWidth="1"/>
    <col min="9" max="9" width="38.5703125" customWidth="1"/>
    <col min="10" max="10" width="21.5703125" customWidth="1"/>
    <col min="11" max="11" width="12" bestFit="1" customWidth="1"/>
    <col min="12" max="12" width="27.85546875" customWidth="1"/>
    <col min="13" max="13" width="32.42578125" customWidth="1"/>
    <col min="14" max="14" width="17.5703125" customWidth="1"/>
    <col min="15" max="15" width="14.42578125" customWidth="1"/>
    <col min="16" max="16" width="14.5703125" customWidth="1"/>
    <col min="17" max="17" width="13.85546875" customWidth="1"/>
    <col min="18" max="18" width="16.5703125" customWidth="1"/>
    <col min="19" max="19" width="13.42578125" customWidth="1"/>
    <col min="20" max="20" width="22.5703125" customWidth="1"/>
    <col min="21" max="21" width="18.42578125" customWidth="1"/>
    <col min="22" max="22" width="21.5703125" customWidth="1"/>
    <col min="23" max="23" width="0" hidden="1" customWidth="1"/>
    <col min="24" max="24" width="19.42578125" hidden="1" customWidth="1"/>
  </cols>
  <sheetData>
    <row r="1" spans="2:24" ht="15.75" thickBot="1" x14ac:dyDescent="0.3">
      <c r="O1" s="46"/>
    </row>
    <row r="2" spans="2:24" ht="18.600000000000001" customHeight="1" thickTop="1" thickBot="1" x14ac:dyDescent="0.3">
      <c r="C2" s="47"/>
      <c r="D2" s="163" t="s">
        <v>92</v>
      </c>
      <c r="E2" s="164"/>
      <c r="F2" s="164"/>
      <c r="G2" s="164"/>
      <c r="H2" s="165"/>
      <c r="I2" s="166" t="s">
        <v>93</v>
      </c>
      <c r="J2" s="167"/>
      <c r="K2" s="167"/>
      <c r="L2" s="167"/>
      <c r="M2" s="167"/>
      <c r="N2" s="163" t="s">
        <v>94</v>
      </c>
      <c r="O2" s="164"/>
      <c r="P2" s="164"/>
      <c r="Q2" s="165"/>
      <c r="R2" s="166" t="s">
        <v>95</v>
      </c>
      <c r="S2" s="167"/>
      <c r="T2" s="167"/>
      <c r="U2" s="167"/>
      <c r="V2" s="167"/>
    </row>
    <row r="3" spans="2:24" ht="27" thickTop="1" thickBot="1" x14ac:dyDescent="0.3">
      <c r="B3" t="s">
        <v>96</v>
      </c>
      <c r="C3" t="s">
        <v>97</v>
      </c>
      <c r="D3" s="48" t="s">
        <v>98</v>
      </c>
      <c r="E3" s="49" t="s">
        <v>99</v>
      </c>
      <c r="F3" s="50" t="s">
        <v>3</v>
      </c>
      <c r="G3" s="50" t="s">
        <v>100</v>
      </c>
      <c r="H3" s="50" t="s">
        <v>5</v>
      </c>
      <c r="I3" s="51" t="s">
        <v>101</v>
      </c>
      <c r="J3" s="51" t="s">
        <v>102</v>
      </c>
      <c r="K3" s="51" t="s">
        <v>103</v>
      </c>
      <c r="L3" s="51" t="s">
        <v>104</v>
      </c>
      <c r="M3" s="51" t="s">
        <v>105</v>
      </c>
      <c r="N3" s="52" t="s">
        <v>106</v>
      </c>
      <c r="O3" s="52" t="s">
        <v>107</v>
      </c>
      <c r="P3" s="52" t="s">
        <v>108</v>
      </c>
      <c r="Q3" s="52" t="s">
        <v>109</v>
      </c>
      <c r="R3" s="51" t="s">
        <v>110</v>
      </c>
      <c r="S3" s="51" t="s">
        <v>111</v>
      </c>
      <c r="T3" s="51" t="s">
        <v>112</v>
      </c>
      <c r="U3" s="51" t="s">
        <v>113</v>
      </c>
      <c r="V3" s="53" t="s">
        <v>114</v>
      </c>
      <c r="W3" s="54" t="s">
        <v>115</v>
      </c>
      <c r="X3" s="69" t="s">
        <v>194</v>
      </c>
    </row>
    <row r="4" spans="2:24" ht="26.25" thickBot="1" x14ac:dyDescent="0.3">
      <c r="B4" s="55" t="str">
        <f>F4&amp;"_"&amp;G4&amp;"_"&amp;H4</f>
        <v>0.87 UEF Tankless Water Heater_Zone 1_0.87+ UEF</v>
      </c>
      <c r="C4" s="55" t="str">
        <f t="shared" ref="C4:C67" si="0">I4&amp;"_"&amp;J4&amp;"_"&amp;K4&amp;"_"&amp;L4&amp;"_"&amp;M4</f>
        <v>Water Heater &lt;= 55 gal._CZ1 - Single Family_Existing_Baseline (UEF 0.58)_UEF 0.91 (Instantaneous Condensing)</v>
      </c>
      <c r="D4" s="56">
        <v>1</v>
      </c>
      <c r="E4" s="56" t="s">
        <v>116</v>
      </c>
      <c r="F4" s="57" t="s">
        <v>20</v>
      </c>
      <c r="G4" s="57" t="s">
        <v>21</v>
      </c>
      <c r="H4" s="57" t="s">
        <v>22</v>
      </c>
      <c r="I4" s="57" t="s">
        <v>117</v>
      </c>
      <c r="J4" s="57" t="s">
        <v>118</v>
      </c>
      <c r="K4" s="57" t="s">
        <v>119</v>
      </c>
      <c r="L4" s="57" t="s">
        <v>120</v>
      </c>
      <c r="M4" s="57" t="s">
        <v>121</v>
      </c>
      <c r="N4" s="58">
        <v>60</v>
      </c>
      <c r="O4" s="59">
        <v>1171</v>
      </c>
      <c r="P4" s="58">
        <v>18</v>
      </c>
      <c r="Q4" s="59">
        <v>250</v>
      </c>
      <c r="R4" s="60">
        <f>64.5777933937334 *(0.87/0.91)</f>
        <v>61.739209068734127</v>
      </c>
      <c r="S4" s="60" t="s">
        <v>184</v>
      </c>
      <c r="T4" s="61">
        <v>2447.4499999999998</v>
      </c>
      <c r="U4" s="56">
        <v>13</v>
      </c>
      <c r="V4" s="61">
        <v>320.39485536545675</v>
      </c>
      <c r="W4" t="s">
        <v>122</v>
      </c>
      <c r="X4" t="s">
        <v>195</v>
      </c>
    </row>
    <row r="5" spans="2:24" ht="26.25" thickBot="1" x14ac:dyDescent="0.3">
      <c r="B5" s="55" t="str">
        <f t="shared" ref="B5:B68" si="1">F5&amp;"_"&amp;G5&amp;"_"&amp;H5</f>
        <v>0.87 UEF Tankless Water Heater_Zone 2_0.87+ UEF</v>
      </c>
      <c r="C5" s="55" t="str">
        <f t="shared" si="0"/>
        <v>Water Heater &lt;= 55 gal._CZ2 - Single Family_Existing_Baseline (UEF 0.58)_UEF 0.91 (Instantaneous Condensing)</v>
      </c>
      <c r="D5" s="62">
        <v>2</v>
      </c>
      <c r="E5" s="62" t="s">
        <v>116</v>
      </c>
      <c r="F5" s="63" t="s">
        <v>20</v>
      </c>
      <c r="G5" s="63" t="s">
        <v>23</v>
      </c>
      <c r="H5" s="63" t="s">
        <v>22</v>
      </c>
      <c r="I5" s="64" t="s">
        <v>117</v>
      </c>
      <c r="J5" s="64" t="s">
        <v>123</v>
      </c>
      <c r="K5" s="64" t="s">
        <v>119</v>
      </c>
      <c r="L5" s="64" t="s">
        <v>120</v>
      </c>
      <c r="M5" s="64" t="s">
        <v>121</v>
      </c>
      <c r="N5" s="62">
        <v>60</v>
      </c>
      <c r="O5" s="65">
        <v>1171</v>
      </c>
      <c r="P5" s="62">
        <v>18</v>
      </c>
      <c r="Q5" s="65">
        <v>250</v>
      </c>
      <c r="R5" s="66">
        <f>64.2200216851809 * (0.87/0.91)</f>
        <v>61.397163589128986</v>
      </c>
      <c r="S5" s="66" t="s">
        <v>184</v>
      </c>
      <c r="T5" s="67">
        <v>1882.25</v>
      </c>
      <c r="U5" s="68">
        <v>13</v>
      </c>
      <c r="V5" s="67">
        <v>246.40495140438989</v>
      </c>
      <c r="W5" t="s">
        <v>122</v>
      </c>
    </row>
    <row r="6" spans="2:24" ht="26.25" thickBot="1" x14ac:dyDescent="0.3">
      <c r="B6" s="55" t="str">
        <f t="shared" si="1"/>
        <v>0.87 UEF Tankless Water Heater_Zone 3_0.87+ UEF</v>
      </c>
      <c r="C6" s="55" t="str">
        <f t="shared" si="0"/>
        <v>Water Heater &lt;= 55 gal._CZ3 - Single Family_Existing_Baseline (UEF 0.58)_UEF 0.91 (Instantaneous Condensing)</v>
      </c>
      <c r="D6" s="56">
        <v>3</v>
      </c>
      <c r="E6" s="56" t="s">
        <v>116</v>
      </c>
      <c r="F6" s="57" t="s">
        <v>20</v>
      </c>
      <c r="G6" s="57" t="s">
        <v>24</v>
      </c>
      <c r="H6" s="57" t="s">
        <v>22</v>
      </c>
      <c r="I6" s="57" t="s">
        <v>117</v>
      </c>
      <c r="J6" s="57" t="s">
        <v>124</v>
      </c>
      <c r="K6" s="57" t="s">
        <v>119</v>
      </c>
      <c r="L6" s="57" t="s">
        <v>120</v>
      </c>
      <c r="M6" s="57" t="s">
        <v>121</v>
      </c>
      <c r="N6" s="58">
        <v>59</v>
      </c>
      <c r="O6" s="59">
        <v>1171</v>
      </c>
      <c r="P6" s="58">
        <v>18</v>
      </c>
      <c r="Q6" s="59">
        <v>250</v>
      </c>
      <c r="R6" s="60">
        <f>63.6833641223521 * (0.87/0.91)</f>
        <v>60.884095369721237</v>
      </c>
      <c r="S6" s="60" t="s">
        <v>184</v>
      </c>
      <c r="T6" s="61">
        <v>1882.25</v>
      </c>
      <c r="U6" s="56">
        <v>13</v>
      </c>
      <c r="V6" s="61">
        <v>246.40495140438989</v>
      </c>
      <c r="W6" t="s">
        <v>122</v>
      </c>
      <c r="X6" t="s">
        <v>195</v>
      </c>
    </row>
    <row r="7" spans="2:24" ht="15.75" thickBot="1" x14ac:dyDescent="0.3">
      <c r="B7" s="55" t="str">
        <f t="shared" si="1"/>
        <v>0.93 UEF Tankless Water Heater_Zone 1_0.93+ UEF</v>
      </c>
      <c r="C7" s="55" t="str">
        <f t="shared" si="0"/>
        <v>N/A_N/A_N/A_N/A_N/A</v>
      </c>
      <c r="D7" s="62">
        <v>4</v>
      </c>
      <c r="E7" s="62" t="s">
        <v>116</v>
      </c>
      <c r="F7" s="63" t="s">
        <v>25</v>
      </c>
      <c r="G7" s="63" t="s">
        <v>21</v>
      </c>
      <c r="H7" s="63" t="s">
        <v>26</v>
      </c>
      <c r="I7" s="64" t="s">
        <v>125</v>
      </c>
      <c r="J7" s="64" t="s">
        <v>125</v>
      </c>
      <c r="K7" s="64" t="s">
        <v>125</v>
      </c>
      <c r="L7" s="64" t="s">
        <v>125</v>
      </c>
      <c r="M7" s="64" t="s">
        <v>125</v>
      </c>
      <c r="N7" s="62">
        <v>68</v>
      </c>
      <c r="O7" s="65">
        <v>1171</v>
      </c>
      <c r="P7" s="62">
        <v>18</v>
      </c>
      <c r="Q7" s="65">
        <v>350</v>
      </c>
      <c r="R7" s="66">
        <f>64.5777933937334 *(0.93/0.91)</f>
        <v>65.997085556233031</v>
      </c>
      <c r="S7" s="66" t="str">
        <f>S4</f>
        <v>unit</v>
      </c>
      <c r="T7" s="67" t="s">
        <v>125</v>
      </c>
      <c r="U7" s="68">
        <f>U4</f>
        <v>13</v>
      </c>
      <c r="V7" s="67" t="s">
        <v>125</v>
      </c>
      <c r="W7" t="s">
        <v>126</v>
      </c>
      <c r="X7" t="s">
        <v>196</v>
      </c>
    </row>
    <row r="8" spans="2:24" ht="15.75" thickBot="1" x14ac:dyDescent="0.3">
      <c r="B8" s="55" t="str">
        <f t="shared" si="1"/>
        <v>0.93 UEF Tankless Water Heater_Zone 2_0.93+ UEF</v>
      </c>
      <c r="C8" s="55" t="str">
        <f t="shared" si="0"/>
        <v>N/A_N/A_N/A_N/A_N/A</v>
      </c>
      <c r="D8" s="56">
        <v>5</v>
      </c>
      <c r="E8" s="56" t="s">
        <v>116</v>
      </c>
      <c r="F8" s="57" t="s">
        <v>25</v>
      </c>
      <c r="G8" s="57" t="s">
        <v>23</v>
      </c>
      <c r="H8" s="57" t="s">
        <v>26</v>
      </c>
      <c r="I8" s="57" t="s">
        <v>125</v>
      </c>
      <c r="J8" s="57" t="s">
        <v>125</v>
      </c>
      <c r="K8" s="57" t="s">
        <v>125</v>
      </c>
      <c r="L8" s="57" t="s">
        <v>125</v>
      </c>
      <c r="M8" s="57" t="s">
        <v>125</v>
      </c>
      <c r="N8" s="58">
        <v>68</v>
      </c>
      <c r="O8" s="59">
        <v>1171</v>
      </c>
      <c r="P8" s="58">
        <v>18</v>
      </c>
      <c r="Q8" s="59">
        <v>350</v>
      </c>
      <c r="R8" s="60">
        <f>64.2200216851809 * (0.93/0.91)</f>
        <v>65.631450733206847</v>
      </c>
      <c r="S8" s="60" t="str">
        <f>S5</f>
        <v>unit</v>
      </c>
      <c r="T8" s="61" t="s">
        <v>125</v>
      </c>
      <c r="U8" s="56">
        <f>U5</f>
        <v>13</v>
      </c>
      <c r="V8" s="61" t="s">
        <v>125</v>
      </c>
      <c r="W8" t="s">
        <v>126</v>
      </c>
      <c r="X8" t="s">
        <v>196</v>
      </c>
    </row>
    <row r="9" spans="2:24" ht="15.75" thickBot="1" x14ac:dyDescent="0.3">
      <c r="B9" s="55" t="str">
        <f t="shared" si="1"/>
        <v>0.93 UEF Tankless Water Heater_Zone 3_0.93+ UEF</v>
      </c>
      <c r="C9" s="55" t="str">
        <f t="shared" si="0"/>
        <v>N/A_N/A_N/A_N/A_N/A</v>
      </c>
      <c r="D9" s="62">
        <v>6</v>
      </c>
      <c r="E9" s="62" t="s">
        <v>116</v>
      </c>
      <c r="F9" s="63" t="s">
        <v>25</v>
      </c>
      <c r="G9" s="63" t="s">
        <v>24</v>
      </c>
      <c r="H9" s="63" t="s">
        <v>26</v>
      </c>
      <c r="I9" s="64" t="s">
        <v>125</v>
      </c>
      <c r="J9" s="64" t="s">
        <v>125</v>
      </c>
      <c r="K9" s="64" t="s">
        <v>125</v>
      </c>
      <c r="L9" s="64" t="s">
        <v>125</v>
      </c>
      <c r="M9" s="64" t="s">
        <v>125</v>
      </c>
      <c r="N9" s="62">
        <v>67</v>
      </c>
      <c r="O9" s="65">
        <v>1171</v>
      </c>
      <c r="P9" s="62">
        <v>18</v>
      </c>
      <c r="Q9" s="65">
        <v>350</v>
      </c>
      <c r="R9" s="66">
        <f>63.6833641223521 * (0.93/0.91)</f>
        <v>65.082998498667536</v>
      </c>
      <c r="S9" s="66" t="str">
        <f>S6</f>
        <v>unit</v>
      </c>
      <c r="T9" s="67" t="s">
        <v>125</v>
      </c>
      <c r="U9" s="68">
        <f>U6</f>
        <v>13</v>
      </c>
      <c r="V9" s="67" t="s">
        <v>125</v>
      </c>
      <c r="W9" t="s">
        <v>126</v>
      </c>
      <c r="X9" t="s">
        <v>196</v>
      </c>
    </row>
    <row r="10" spans="2:24" ht="15.75" thickBot="1" x14ac:dyDescent="0.3">
      <c r="B10" s="55" t="str">
        <f t="shared" si="1"/>
        <v>Built Green Certified Home_Zone 3_Certified from one to five stars</v>
      </c>
      <c r="C10" s="55" t="str">
        <f t="shared" si="0"/>
        <v>Built Green homes_CZ3 - Single Family_New_WA Building Code_Built Green spec (NC Only)</v>
      </c>
      <c r="D10" s="56">
        <v>7</v>
      </c>
      <c r="E10" s="56" t="s">
        <v>116</v>
      </c>
      <c r="F10" s="57" t="s">
        <v>27</v>
      </c>
      <c r="G10" s="57" t="s">
        <v>24</v>
      </c>
      <c r="H10" s="57" t="s">
        <v>28</v>
      </c>
      <c r="I10" s="57" t="s">
        <v>127</v>
      </c>
      <c r="J10" s="57" t="s">
        <v>124</v>
      </c>
      <c r="K10" s="57" t="s">
        <v>128</v>
      </c>
      <c r="L10" s="57" t="s">
        <v>129</v>
      </c>
      <c r="M10" s="57" t="s">
        <v>130</v>
      </c>
      <c r="N10" s="58">
        <v>229</v>
      </c>
      <c r="O10" s="59">
        <v>1142</v>
      </c>
      <c r="P10" s="58">
        <v>30</v>
      </c>
      <c r="Q10" s="59">
        <v>2000</v>
      </c>
      <c r="R10" s="60">
        <v>29.106556729243202</v>
      </c>
      <c r="S10" s="60" t="s">
        <v>153</v>
      </c>
      <c r="T10" s="61">
        <v>2154.5300000000002</v>
      </c>
      <c r="U10" s="56">
        <v>30</v>
      </c>
      <c r="V10" s="61">
        <v>200.00000450935781</v>
      </c>
      <c r="W10" t="s">
        <v>131</v>
      </c>
    </row>
    <row r="11" spans="2:24" ht="15.75" thickBot="1" x14ac:dyDescent="0.3">
      <c r="B11" s="55" t="str">
        <f t="shared" si="1"/>
        <v>Built Green Certified Home_Zone 3_Certified from one to five stars</v>
      </c>
      <c r="C11" s="55" t="str">
        <f t="shared" si="0"/>
        <v>Built Green homes_CZ3 - Single Family_New_WA Building Code_Built Green spec (NC Only)</v>
      </c>
      <c r="D11" s="62">
        <v>8</v>
      </c>
      <c r="E11" s="62" t="s">
        <v>116</v>
      </c>
      <c r="F11" s="63" t="s">
        <v>27</v>
      </c>
      <c r="G11" s="63" t="s">
        <v>24</v>
      </c>
      <c r="H11" s="63" t="s">
        <v>28</v>
      </c>
      <c r="I11" s="64" t="s">
        <v>127</v>
      </c>
      <c r="J11" s="64" t="s">
        <v>124</v>
      </c>
      <c r="K11" s="64" t="s">
        <v>128</v>
      </c>
      <c r="L11" s="64" t="s">
        <v>129</v>
      </c>
      <c r="M11" s="64" t="s">
        <v>130</v>
      </c>
      <c r="N11" s="62">
        <v>229</v>
      </c>
      <c r="O11" s="65">
        <v>1142</v>
      </c>
      <c r="P11" s="62">
        <v>30</v>
      </c>
      <c r="Q11" s="65">
        <v>2000</v>
      </c>
      <c r="R11" s="66">
        <v>29.106556729243202</v>
      </c>
      <c r="S11" s="66" t="s">
        <v>153</v>
      </c>
      <c r="T11" s="67">
        <v>2154.5300000000002</v>
      </c>
      <c r="U11" s="68">
        <v>30</v>
      </c>
      <c r="V11" s="67">
        <v>200.00000450935781</v>
      </c>
      <c r="W11" t="s">
        <v>131</v>
      </c>
    </row>
    <row r="12" spans="2:24" ht="15.75" thickBot="1" x14ac:dyDescent="0.3">
      <c r="B12" s="55" t="str">
        <f t="shared" si="1"/>
        <v>Ceiling Tier I_Zone 1_Tier 1: Post R-38+</v>
      </c>
      <c r="C12" s="55" t="str">
        <f t="shared" si="0"/>
        <v>Insulation - Ceiling, Installation_CZ1 - Single Family_Existing_R-0_R-38 (Retro only)</v>
      </c>
      <c r="D12" s="56">
        <v>9</v>
      </c>
      <c r="E12" s="56" t="s">
        <v>116</v>
      </c>
      <c r="F12" s="57" t="s">
        <v>31</v>
      </c>
      <c r="G12" s="57" t="s">
        <v>21</v>
      </c>
      <c r="H12" s="57" t="s">
        <v>32</v>
      </c>
      <c r="I12" s="57" t="s">
        <v>132</v>
      </c>
      <c r="J12" s="57" t="s">
        <v>118</v>
      </c>
      <c r="K12" s="57" t="s">
        <v>119</v>
      </c>
      <c r="L12" s="57" t="s">
        <v>133</v>
      </c>
      <c r="M12" s="57" t="s">
        <v>134</v>
      </c>
      <c r="N12" s="58">
        <v>6.2E-2</v>
      </c>
      <c r="O12" s="59">
        <v>0.67</v>
      </c>
      <c r="P12" s="58">
        <v>45</v>
      </c>
      <c r="Q12" s="59">
        <v>0.75</v>
      </c>
      <c r="R12" s="60">
        <v>0.15715086997503622</v>
      </c>
      <c r="S12" s="60" t="s">
        <v>185</v>
      </c>
      <c r="T12" s="61">
        <v>1.37</v>
      </c>
      <c r="U12" s="56">
        <v>45</v>
      </c>
      <c r="V12" s="61">
        <v>0.9999803315968071</v>
      </c>
    </row>
    <row r="13" spans="2:24" ht="15.75" thickBot="1" x14ac:dyDescent="0.3">
      <c r="B13" s="55" t="str">
        <f t="shared" si="1"/>
        <v>Ceiling Tier I_Zone 2_Tier 1: Post R-38+</v>
      </c>
      <c r="C13" s="55" t="str">
        <f t="shared" si="0"/>
        <v>Insulation - Ceiling, Installation_CZ2 - Single Family_Existing_R-0_R-38 (Retro only)</v>
      </c>
      <c r="D13" s="62">
        <v>10</v>
      </c>
      <c r="E13" s="62" t="s">
        <v>116</v>
      </c>
      <c r="F13" s="63" t="s">
        <v>31</v>
      </c>
      <c r="G13" s="63" t="s">
        <v>23</v>
      </c>
      <c r="H13" s="63" t="s">
        <v>32</v>
      </c>
      <c r="I13" s="64" t="s">
        <v>132</v>
      </c>
      <c r="J13" s="64" t="s">
        <v>123</v>
      </c>
      <c r="K13" s="64" t="s">
        <v>119</v>
      </c>
      <c r="L13" s="64" t="s">
        <v>133</v>
      </c>
      <c r="M13" s="64" t="s">
        <v>134</v>
      </c>
      <c r="N13" s="62">
        <v>5.7000000000000002E-2</v>
      </c>
      <c r="O13" s="65">
        <v>0.67</v>
      </c>
      <c r="P13" s="62">
        <v>45</v>
      </c>
      <c r="Q13" s="65">
        <v>0.75</v>
      </c>
      <c r="R13" s="66">
        <v>0.17763100522443787</v>
      </c>
      <c r="S13" s="66" t="s">
        <v>185</v>
      </c>
      <c r="T13" s="67">
        <v>1.37</v>
      </c>
      <c r="U13" s="68">
        <v>45</v>
      </c>
      <c r="V13" s="67">
        <v>0.9999803315968071</v>
      </c>
    </row>
    <row r="14" spans="2:24" ht="15.75" thickBot="1" x14ac:dyDescent="0.3">
      <c r="B14" s="55" t="str">
        <f t="shared" si="1"/>
        <v>Ceiling Tier I_Zone 3_Tier 1: Post R-38+</v>
      </c>
      <c r="C14" s="55" t="str">
        <f t="shared" si="0"/>
        <v>Insulation - Ceiling, Installation_CZ3 - Single Family_Existing_R-0_R-38 (Retro only)</v>
      </c>
      <c r="D14" s="56">
        <v>11</v>
      </c>
      <c r="E14" s="56" t="s">
        <v>116</v>
      </c>
      <c r="F14" s="57" t="s">
        <v>31</v>
      </c>
      <c r="G14" s="57" t="s">
        <v>24</v>
      </c>
      <c r="H14" s="57" t="s">
        <v>32</v>
      </c>
      <c r="I14" s="57" t="s">
        <v>132</v>
      </c>
      <c r="J14" s="57" t="s">
        <v>124</v>
      </c>
      <c r="K14" s="57" t="s">
        <v>119</v>
      </c>
      <c r="L14" s="57" t="s">
        <v>133</v>
      </c>
      <c r="M14" s="57" t="s">
        <v>134</v>
      </c>
      <c r="N14" s="58">
        <v>6.7000000000000004E-2</v>
      </c>
      <c r="O14" s="59">
        <v>0.67</v>
      </c>
      <c r="P14" s="58">
        <v>45</v>
      </c>
      <c r="Q14" s="59">
        <v>0.75</v>
      </c>
      <c r="R14" s="60">
        <v>0.11968715837423201</v>
      </c>
      <c r="S14" s="60" t="s">
        <v>185</v>
      </c>
      <c r="T14" s="61">
        <v>1.37</v>
      </c>
      <c r="U14" s="56">
        <v>45</v>
      </c>
      <c r="V14" s="61">
        <v>0.9999803315968071</v>
      </c>
    </row>
    <row r="15" spans="2:24" ht="15.75" thickBot="1" x14ac:dyDescent="0.3">
      <c r="B15" s="55" t="str">
        <f t="shared" si="1"/>
        <v>Ceiling Tier II_Zone 1_Tier 2: Post R-49+</v>
      </c>
      <c r="C15" s="55" t="str">
        <f t="shared" si="0"/>
        <v>Insulation - Ceiling, Upgrade_CZ1 - Single Family_Existing_R11+, up to R40_R-49</v>
      </c>
      <c r="D15" s="62">
        <v>12</v>
      </c>
      <c r="E15" s="62" t="s">
        <v>116</v>
      </c>
      <c r="F15" s="63" t="s">
        <v>33</v>
      </c>
      <c r="G15" s="63" t="s">
        <v>21</v>
      </c>
      <c r="H15" s="63" t="s">
        <v>34</v>
      </c>
      <c r="I15" s="64" t="s">
        <v>135</v>
      </c>
      <c r="J15" s="64" t="s">
        <v>118</v>
      </c>
      <c r="K15" s="64" t="s">
        <v>119</v>
      </c>
      <c r="L15" s="64" t="s">
        <v>136</v>
      </c>
      <c r="M15" s="64" t="s">
        <v>137</v>
      </c>
      <c r="N15" s="62">
        <v>7.3999999999999996E-2</v>
      </c>
      <c r="O15" s="65">
        <v>0.67</v>
      </c>
      <c r="P15" s="62">
        <v>45</v>
      </c>
      <c r="Q15" s="65">
        <v>1</v>
      </c>
      <c r="R15" s="66">
        <v>3.9914106224878912E-2</v>
      </c>
      <c r="S15" s="66" t="s">
        <v>185</v>
      </c>
      <c r="T15" s="67">
        <v>1.17</v>
      </c>
      <c r="U15" s="68">
        <v>45</v>
      </c>
      <c r="V15" s="67">
        <v>1.0000251247995371</v>
      </c>
    </row>
    <row r="16" spans="2:24" ht="15.75" thickBot="1" x14ac:dyDescent="0.3">
      <c r="B16" s="55" t="str">
        <f t="shared" si="1"/>
        <v>Ceiling Tier II_Zone 2_Tier 2: Post R-49+</v>
      </c>
      <c r="C16" s="55" t="str">
        <f t="shared" si="0"/>
        <v>Insulation - Ceiling, Upgrade_CZ2 - Single Family_Existing_R11+, up to R40_R-49</v>
      </c>
      <c r="D16" s="56">
        <v>13</v>
      </c>
      <c r="E16" s="56" t="s">
        <v>116</v>
      </c>
      <c r="F16" s="57" t="s">
        <v>33</v>
      </c>
      <c r="G16" s="57" t="s">
        <v>23</v>
      </c>
      <c r="H16" s="57" t="s">
        <v>34</v>
      </c>
      <c r="I16" s="57" t="s">
        <v>135</v>
      </c>
      <c r="J16" s="57" t="s">
        <v>123</v>
      </c>
      <c r="K16" s="57" t="s">
        <v>119</v>
      </c>
      <c r="L16" s="57" t="s">
        <v>136</v>
      </c>
      <c r="M16" s="57" t="s">
        <v>137</v>
      </c>
      <c r="N16" s="58">
        <v>6.8000000000000005E-2</v>
      </c>
      <c r="O16" s="59">
        <v>0.67</v>
      </c>
      <c r="P16" s="58">
        <v>45</v>
      </c>
      <c r="Q16" s="59">
        <v>1</v>
      </c>
      <c r="R16" s="60">
        <v>4.640530405828782E-2</v>
      </c>
      <c r="S16" s="60" t="s">
        <v>185</v>
      </c>
      <c r="T16" s="61">
        <v>1.17</v>
      </c>
      <c r="U16" s="56">
        <v>45</v>
      </c>
      <c r="V16" s="61">
        <v>1.0000251247995371</v>
      </c>
    </row>
    <row r="17" spans="2:23" ht="15.75" thickBot="1" x14ac:dyDescent="0.3">
      <c r="B17" s="55" t="str">
        <f t="shared" si="1"/>
        <v>Ceiling Tier II_Zone 3_Tier 2: Post R-49+</v>
      </c>
      <c r="C17" s="55" t="str">
        <f t="shared" si="0"/>
        <v>Insulation - Ceiling, Upgrade_CZ3 - Single Family_Existing_R11+, up to R40_R-49</v>
      </c>
      <c r="D17" s="62">
        <v>14</v>
      </c>
      <c r="E17" s="62" t="s">
        <v>116</v>
      </c>
      <c r="F17" s="63" t="s">
        <v>33</v>
      </c>
      <c r="G17" s="63" t="s">
        <v>24</v>
      </c>
      <c r="H17" s="63" t="s">
        <v>34</v>
      </c>
      <c r="I17" s="64" t="s">
        <v>135</v>
      </c>
      <c r="J17" s="64" t="s">
        <v>124</v>
      </c>
      <c r="K17" s="64" t="s">
        <v>119</v>
      </c>
      <c r="L17" s="64" t="s">
        <v>136</v>
      </c>
      <c r="M17" s="64" t="s">
        <v>137</v>
      </c>
      <c r="N17" s="62">
        <v>0.08</v>
      </c>
      <c r="O17" s="65">
        <v>0.67</v>
      </c>
      <c r="P17" s="62">
        <v>45</v>
      </c>
      <c r="Q17" s="65">
        <v>1</v>
      </c>
      <c r="R17" s="66">
        <v>3.0439250110594066E-2</v>
      </c>
      <c r="S17" s="66" t="s">
        <v>185</v>
      </c>
      <c r="T17" s="67">
        <v>1.17</v>
      </c>
      <c r="U17" s="68">
        <v>45</v>
      </c>
      <c r="V17" s="67">
        <v>1.0000251247995371</v>
      </c>
    </row>
    <row r="18" spans="2:23" ht="15.75" thickBot="1" x14ac:dyDescent="0.3">
      <c r="B18" s="55" t="str">
        <f t="shared" si="1"/>
        <v>Condensing Boiler_Zone 1_95+% Annual Fuel Utilization Efficiency (AFUE)</v>
      </c>
      <c r="C18" s="55" t="str">
        <f t="shared" si="0"/>
        <v>Boiler - Direct Fuel_CZ1 - Single Family_Existing_AFUE 82%_AFUE 95%</v>
      </c>
      <c r="D18" s="56">
        <v>15</v>
      </c>
      <c r="E18" s="56" t="s">
        <v>116</v>
      </c>
      <c r="F18" s="57" t="s">
        <v>35</v>
      </c>
      <c r="G18" s="57" t="s">
        <v>21</v>
      </c>
      <c r="H18" s="57" t="s">
        <v>36</v>
      </c>
      <c r="I18" s="57" t="s">
        <v>138</v>
      </c>
      <c r="J18" s="57" t="s">
        <v>118</v>
      </c>
      <c r="K18" s="57" t="s">
        <v>119</v>
      </c>
      <c r="L18" s="57" t="s">
        <v>139</v>
      </c>
      <c r="M18" s="57" t="s">
        <v>140</v>
      </c>
      <c r="N18" s="58">
        <v>77</v>
      </c>
      <c r="O18" s="59">
        <v>1747</v>
      </c>
      <c r="P18" s="58">
        <v>45</v>
      </c>
      <c r="Q18" s="59">
        <v>750</v>
      </c>
      <c r="R18" s="60">
        <v>108.77656899256048</v>
      </c>
      <c r="S18" s="60" t="s">
        <v>186</v>
      </c>
      <c r="T18" s="61">
        <v>1782.7300000000002</v>
      </c>
      <c r="U18" s="56">
        <v>25</v>
      </c>
      <c r="V18" s="61">
        <v>535.31569223873487</v>
      </c>
    </row>
    <row r="19" spans="2:23" ht="15.75" thickBot="1" x14ac:dyDescent="0.3">
      <c r="B19" s="55" t="str">
        <f t="shared" si="1"/>
        <v>Condensing Boiler_Zone 2_95+% Annual Fuel Utilization Efficiency (AFUE)</v>
      </c>
      <c r="C19" s="55" t="str">
        <f t="shared" si="0"/>
        <v>Boiler - Direct Fuel_CZ2 - Single Family_Existing_AFUE 82%_AFUE 95%</v>
      </c>
      <c r="D19" s="62">
        <v>16</v>
      </c>
      <c r="E19" s="62" t="s">
        <v>116</v>
      </c>
      <c r="F19" s="63" t="s">
        <v>35</v>
      </c>
      <c r="G19" s="63" t="s">
        <v>23</v>
      </c>
      <c r="H19" s="63" t="s">
        <v>36</v>
      </c>
      <c r="I19" s="64" t="s">
        <v>138</v>
      </c>
      <c r="J19" s="64" t="s">
        <v>123</v>
      </c>
      <c r="K19" s="64" t="s">
        <v>119</v>
      </c>
      <c r="L19" s="64" t="s">
        <v>139</v>
      </c>
      <c r="M19" s="64" t="s">
        <v>140</v>
      </c>
      <c r="N19" s="62">
        <v>78</v>
      </c>
      <c r="O19" s="65">
        <v>1747</v>
      </c>
      <c r="P19" s="62">
        <v>45</v>
      </c>
      <c r="Q19" s="65">
        <v>750</v>
      </c>
      <c r="R19" s="66">
        <v>124.21599125500825</v>
      </c>
      <c r="S19" s="66" t="s">
        <v>186</v>
      </c>
      <c r="T19" s="67">
        <v>2090.52</v>
      </c>
      <c r="U19" s="68">
        <v>25</v>
      </c>
      <c r="V19" s="67">
        <v>627.73789408809705</v>
      </c>
    </row>
    <row r="20" spans="2:23" ht="15.75" thickBot="1" x14ac:dyDescent="0.3">
      <c r="B20" s="55" t="str">
        <f t="shared" si="1"/>
        <v>Condensing Boiler_Zone 3_95+% Annual Fuel Utilization Efficiency (AFUE)</v>
      </c>
      <c r="C20" s="55" t="str">
        <f t="shared" si="0"/>
        <v>Boiler - Direct Fuel_CZ3 - Single Family_Existing_AFUE 82%_AFUE 95%</v>
      </c>
      <c r="D20" s="56">
        <v>17</v>
      </c>
      <c r="E20" s="56" t="s">
        <v>116</v>
      </c>
      <c r="F20" s="57" t="s">
        <v>35</v>
      </c>
      <c r="G20" s="57" t="s">
        <v>24</v>
      </c>
      <c r="H20" s="57" t="s">
        <v>36</v>
      </c>
      <c r="I20" s="57" t="s">
        <v>138</v>
      </c>
      <c r="J20" s="57" t="s">
        <v>124</v>
      </c>
      <c r="K20" s="57" t="s">
        <v>119</v>
      </c>
      <c r="L20" s="57" t="s">
        <v>139</v>
      </c>
      <c r="M20" s="57" t="s">
        <v>140</v>
      </c>
      <c r="N20" s="58">
        <v>67</v>
      </c>
      <c r="O20" s="59">
        <v>1747</v>
      </c>
      <c r="P20" s="58">
        <v>45</v>
      </c>
      <c r="Q20" s="59">
        <v>750</v>
      </c>
      <c r="R20" s="60">
        <v>110.65588493536748</v>
      </c>
      <c r="S20" s="60" t="s">
        <v>186</v>
      </c>
      <c r="T20" s="61">
        <v>2090.52</v>
      </c>
      <c r="U20" s="56">
        <v>25</v>
      </c>
      <c r="V20" s="61">
        <v>627.73789408809705</v>
      </c>
      <c r="W20" t="s">
        <v>141</v>
      </c>
    </row>
    <row r="21" spans="2:23" ht="15.75" thickBot="1" x14ac:dyDescent="0.3">
      <c r="B21" s="55" t="str">
        <f t="shared" si="1"/>
        <v>Condensing Boiler_Zone 3_95+% Annual Fuel Utilization Efficiency (AFUE)</v>
      </c>
      <c r="C21" s="55" t="str">
        <f t="shared" si="0"/>
        <v>Boiler - Direct Fuel_CZ3 - Single Family_Existing_AFUE 82%_AFUE 95%</v>
      </c>
      <c r="D21" s="62">
        <v>18</v>
      </c>
      <c r="E21" s="62" t="s">
        <v>116</v>
      </c>
      <c r="F21" s="63" t="s">
        <v>35</v>
      </c>
      <c r="G21" s="63" t="s">
        <v>24</v>
      </c>
      <c r="H21" s="63" t="s">
        <v>36</v>
      </c>
      <c r="I21" s="64" t="s">
        <v>138</v>
      </c>
      <c r="J21" s="64" t="s">
        <v>124</v>
      </c>
      <c r="K21" s="64" t="s">
        <v>119</v>
      </c>
      <c r="L21" s="64" t="s">
        <v>139</v>
      </c>
      <c r="M21" s="64" t="s">
        <v>140</v>
      </c>
      <c r="N21" s="62">
        <v>67</v>
      </c>
      <c r="O21" s="65">
        <v>1747</v>
      </c>
      <c r="P21" s="62">
        <v>45</v>
      </c>
      <c r="Q21" s="65">
        <v>750</v>
      </c>
      <c r="R21" s="66">
        <v>110.65588493536748</v>
      </c>
      <c r="S21" s="66" t="s">
        <v>186</v>
      </c>
      <c r="T21" s="67">
        <v>2090.52</v>
      </c>
      <c r="U21" s="68">
        <v>25</v>
      </c>
      <c r="V21" s="67">
        <v>627.73789408809705</v>
      </c>
      <c r="W21" t="s">
        <v>141</v>
      </c>
    </row>
    <row r="22" spans="2:23" ht="26.25" thickBot="1" x14ac:dyDescent="0.3">
      <c r="B22" s="55" t="str">
        <f t="shared" si="1"/>
        <v>Condensing High-Efficiency Natural Gas Tankless Water Heater_Zone 1_0.91+ Energy Factor (EF) or Greater</v>
      </c>
      <c r="C22" s="55" t="str">
        <f t="shared" si="0"/>
        <v>Water Heater &lt;= 55 gal._CZ1 - Single Family_Existing_Baseline (UEF 0.58)_UEF 0.91 (Instantaneous Condensing)</v>
      </c>
      <c r="D22" s="56">
        <v>19</v>
      </c>
      <c r="E22" s="56" t="s">
        <v>116</v>
      </c>
      <c r="F22" s="57" t="s">
        <v>37</v>
      </c>
      <c r="G22" s="57" t="s">
        <v>21</v>
      </c>
      <c r="H22" s="57" t="s">
        <v>38</v>
      </c>
      <c r="I22" s="57" t="s">
        <v>117</v>
      </c>
      <c r="J22" s="57" t="s">
        <v>118</v>
      </c>
      <c r="K22" s="57" t="s">
        <v>119</v>
      </c>
      <c r="L22" s="57" t="s">
        <v>120</v>
      </c>
      <c r="M22" s="57" t="s">
        <v>121</v>
      </c>
      <c r="N22" s="58">
        <v>54</v>
      </c>
      <c r="O22" s="59">
        <v>1171</v>
      </c>
      <c r="P22" s="58">
        <v>18</v>
      </c>
      <c r="Q22" s="59">
        <v>250</v>
      </c>
      <c r="R22" s="60">
        <v>64.577793393733444</v>
      </c>
      <c r="S22" s="60" t="s">
        <v>184</v>
      </c>
      <c r="T22" s="61">
        <v>2447.4499999999998</v>
      </c>
      <c r="U22" s="56">
        <v>13</v>
      </c>
      <c r="V22" s="61">
        <v>320.39485536545675</v>
      </c>
      <c r="W22" t="s">
        <v>142</v>
      </c>
    </row>
    <row r="23" spans="2:23" ht="26.25" thickBot="1" x14ac:dyDescent="0.3">
      <c r="B23" s="55" t="str">
        <f t="shared" si="1"/>
        <v>Condensing High-Efficiency Natural Gas Tankless Water Heater_Zone 2_0.91+ Energy Factor (EF) or Greater</v>
      </c>
      <c r="C23" s="55" t="str">
        <f t="shared" si="0"/>
        <v>Water Heater &lt;= 55 gal._CZ2 - Single Family_Existing_Baseline (UEF 0.58)_UEF 0.91 (Instantaneous Condensing)</v>
      </c>
      <c r="D23" s="62">
        <v>20</v>
      </c>
      <c r="E23" s="62" t="s">
        <v>116</v>
      </c>
      <c r="F23" s="63" t="s">
        <v>37</v>
      </c>
      <c r="G23" s="63" t="s">
        <v>23</v>
      </c>
      <c r="H23" s="63" t="s">
        <v>38</v>
      </c>
      <c r="I23" s="64" t="s">
        <v>117</v>
      </c>
      <c r="J23" s="64" t="s">
        <v>123</v>
      </c>
      <c r="K23" s="64" t="s">
        <v>119</v>
      </c>
      <c r="L23" s="64" t="s">
        <v>120</v>
      </c>
      <c r="M23" s="64" t="s">
        <v>121</v>
      </c>
      <c r="N23" s="62">
        <v>54</v>
      </c>
      <c r="O23" s="65">
        <v>1171</v>
      </c>
      <c r="P23" s="62">
        <v>18</v>
      </c>
      <c r="Q23" s="65">
        <v>250</v>
      </c>
      <c r="R23" s="66">
        <v>64.22002168518091</v>
      </c>
      <c r="S23" s="66" t="s">
        <v>184</v>
      </c>
      <c r="T23" s="67">
        <v>1882.25</v>
      </c>
      <c r="U23" s="68">
        <v>13</v>
      </c>
      <c r="V23" s="67">
        <v>246.40495140438989</v>
      </c>
      <c r="W23" t="s">
        <v>142</v>
      </c>
    </row>
    <row r="24" spans="2:23" ht="26.25" thickBot="1" x14ac:dyDescent="0.3">
      <c r="B24" s="55" t="str">
        <f t="shared" si="1"/>
        <v>Condensing High-Efficiency Natural Gas Tankless Water Heater_Zone 3_0.91+ Energy Factor (EF) or Greater</v>
      </c>
      <c r="C24" s="55" t="str">
        <f t="shared" si="0"/>
        <v>Water Heater &lt;= 55 gal._CZ3 - Single Family_Existing_Baseline (UEF 0.58)_UEF 0.91 (Instantaneous Condensing)</v>
      </c>
      <c r="D24" s="56">
        <v>21</v>
      </c>
      <c r="E24" s="56" t="s">
        <v>116</v>
      </c>
      <c r="F24" s="57" t="s">
        <v>37</v>
      </c>
      <c r="G24" s="57" t="s">
        <v>24</v>
      </c>
      <c r="H24" s="57" t="s">
        <v>38</v>
      </c>
      <c r="I24" s="57" t="s">
        <v>117</v>
      </c>
      <c r="J24" s="57" t="s">
        <v>124</v>
      </c>
      <c r="K24" s="57" t="s">
        <v>119</v>
      </c>
      <c r="L24" s="57" t="s">
        <v>120</v>
      </c>
      <c r="M24" s="57" t="s">
        <v>121</v>
      </c>
      <c r="N24" s="58">
        <v>54</v>
      </c>
      <c r="O24" s="59">
        <v>1171</v>
      </c>
      <c r="P24" s="58">
        <v>18</v>
      </c>
      <c r="Q24" s="59">
        <v>250</v>
      </c>
      <c r="R24" s="60">
        <v>63.68336412235211</v>
      </c>
      <c r="S24" s="60" t="s">
        <v>184</v>
      </c>
      <c r="T24" s="61">
        <v>1882.25</v>
      </c>
      <c r="U24" s="56">
        <v>13</v>
      </c>
      <c r="V24" s="61">
        <v>246.40495140438989</v>
      </c>
      <c r="W24" t="s">
        <v>142</v>
      </c>
    </row>
    <row r="25" spans="2:23" ht="15.75" thickBot="1" x14ac:dyDescent="0.3">
      <c r="B25" s="55" t="str">
        <f t="shared" si="1"/>
        <v>Duct Insulation_Zone 1_Post R ? 8, prior condition must not exceed R-0</v>
      </c>
      <c r="C25" s="55" t="str">
        <f t="shared" si="0"/>
        <v>Insulation - Ducting_CZ1 - Single Family_Existing_2° F duct loss_duct thermal losses reduced 50%</v>
      </c>
      <c r="D25" s="62">
        <v>22</v>
      </c>
      <c r="E25" s="62" t="s">
        <v>116</v>
      </c>
      <c r="F25" s="63" t="s">
        <v>39</v>
      </c>
      <c r="G25" s="63" t="s">
        <v>21</v>
      </c>
      <c r="H25" s="63" t="s">
        <v>40</v>
      </c>
      <c r="I25" s="64" t="s">
        <v>143</v>
      </c>
      <c r="J25" s="64" t="s">
        <v>118</v>
      </c>
      <c r="K25" s="64" t="s">
        <v>119</v>
      </c>
      <c r="L25" s="64" t="s">
        <v>144</v>
      </c>
      <c r="M25" s="64" t="s">
        <v>145</v>
      </c>
      <c r="N25" s="62">
        <v>6.3E-2</v>
      </c>
      <c r="O25" s="65">
        <v>0.61</v>
      </c>
      <c r="P25" s="62">
        <v>30</v>
      </c>
      <c r="Q25" s="65">
        <v>0.5</v>
      </c>
      <c r="R25" s="66">
        <v>0.17361189969618615</v>
      </c>
      <c r="S25" s="66" t="s">
        <v>187</v>
      </c>
      <c r="T25" s="67">
        <v>2.46</v>
      </c>
      <c r="U25" s="68">
        <v>45</v>
      </c>
      <c r="V25" s="67">
        <v>0.50000891751629639</v>
      </c>
    </row>
    <row r="26" spans="2:23" ht="15.75" thickBot="1" x14ac:dyDescent="0.3">
      <c r="B26" s="55" t="str">
        <f t="shared" si="1"/>
        <v>Duct Insulation_Zone 2_Post R ? 8, prior condition must not exceed R-0</v>
      </c>
      <c r="C26" s="55" t="str">
        <f t="shared" si="0"/>
        <v>Insulation - Ducting_CZ2 - Single Family_Existing_2° F duct loss_duct thermal losses reduced 50%</v>
      </c>
      <c r="D26" s="56">
        <v>23</v>
      </c>
      <c r="E26" s="56" t="s">
        <v>116</v>
      </c>
      <c r="F26" s="57" t="s">
        <v>39</v>
      </c>
      <c r="G26" s="57" t="s">
        <v>23</v>
      </c>
      <c r="H26" s="57" t="s">
        <v>40</v>
      </c>
      <c r="I26" s="57" t="s">
        <v>143</v>
      </c>
      <c r="J26" s="57" t="s">
        <v>123</v>
      </c>
      <c r="K26" s="57" t="s">
        <v>119</v>
      </c>
      <c r="L26" s="57" t="s">
        <v>144</v>
      </c>
      <c r="M26" s="57" t="s">
        <v>145</v>
      </c>
      <c r="N26" s="58">
        <v>6.3E-2</v>
      </c>
      <c r="O26" s="59">
        <v>0.61</v>
      </c>
      <c r="P26" s="58">
        <v>30</v>
      </c>
      <c r="Q26" s="59">
        <v>0.5</v>
      </c>
      <c r="R26" s="60">
        <v>0.17361189969618615</v>
      </c>
      <c r="S26" s="60" t="s">
        <v>187</v>
      </c>
      <c r="T26" s="61">
        <v>2.46</v>
      </c>
      <c r="U26" s="56">
        <v>45</v>
      </c>
      <c r="V26" s="61">
        <v>0.50000891751629639</v>
      </c>
    </row>
    <row r="27" spans="2:23" ht="15.75" thickBot="1" x14ac:dyDescent="0.3">
      <c r="B27" s="55" t="str">
        <f t="shared" si="1"/>
        <v>Duct Insulation_Zone 3_Post R ? 8, prior condition must not exceed R-0</v>
      </c>
      <c r="C27" s="55" t="str">
        <f t="shared" si="0"/>
        <v>Insulation - Ducting_CZ3 - Single Family_Existing_2° F duct loss_duct thermal losses reduced 50%</v>
      </c>
      <c r="D27" s="62">
        <v>24</v>
      </c>
      <c r="E27" s="62" t="s">
        <v>116</v>
      </c>
      <c r="F27" s="63" t="s">
        <v>39</v>
      </c>
      <c r="G27" s="63" t="s">
        <v>24</v>
      </c>
      <c r="H27" s="63" t="s">
        <v>40</v>
      </c>
      <c r="I27" s="64" t="s">
        <v>143</v>
      </c>
      <c r="J27" s="64" t="s">
        <v>124</v>
      </c>
      <c r="K27" s="64" t="s">
        <v>119</v>
      </c>
      <c r="L27" s="64" t="s">
        <v>144</v>
      </c>
      <c r="M27" s="64" t="s">
        <v>145</v>
      </c>
      <c r="N27" s="62">
        <v>6.3E-2</v>
      </c>
      <c r="O27" s="65">
        <v>0.61</v>
      </c>
      <c r="P27" s="62">
        <v>30</v>
      </c>
      <c r="Q27" s="65">
        <v>0.5</v>
      </c>
      <c r="R27" s="66">
        <v>0.17361189969618615</v>
      </c>
      <c r="S27" s="66" t="s">
        <v>187</v>
      </c>
      <c r="T27" s="67">
        <v>2.46</v>
      </c>
      <c r="U27" s="68">
        <v>45</v>
      </c>
      <c r="V27" s="67">
        <v>0.50000891751629639</v>
      </c>
    </row>
    <row r="28" spans="2:23" ht="26.25" thickBot="1" x14ac:dyDescent="0.3">
      <c r="B28" s="55" t="str">
        <f t="shared" si="1"/>
        <v>Duct Sealing_Zone 1_30% or more of supply ducts in unconditioned space</v>
      </c>
      <c r="C28" s="55" t="str">
        <f t="shared" si="0"/>
        <v>Ducting - Repair and Sealing_CZ1 - Single Family_Existing_10% air leak to outside_50% reduction in duct leakage</v>
      </c>
      <c r="D28" s="56">
        <v>25</v>
      </c>
      <c r="E28" s="56" t="s">
        <v>116</v>
      </c>
      <c r="F28" s="57" t="s">
        <v>41</v>
      </c>
      <c r="G28" s="57" t="s">
        <v>21</v>
      </c>
      <c r="H28" s="57" t="s">
        <v>42</v>
      </c>
      <c r="I28" s="57" t="s">
        <v>146</v>
      </c>
      <c r="J28" s="57" t="s">
        <v>118</v>
      </c>
      <c r="K28" s="57" t="s">
        <v>119</v>
      </c>
      <c r="L28" s="57" t="s">
        <v>147</v>
      </c>
      <c r="M28" s="57" t="s">
        <v>148</v>
      </c>
      <c r="N28" s="58">
        <v>27.72</v>
      </c>
      <c r="O28" s="59">
        <v>793.95</v>
      </c>
      <c r="P28" s="58">
        <v>30</v>
      </c>
      <c r="Q28" s="59">
        <v>150</v>
      </c>
      <c r="R28" s="60">
        <v>68.642845139785123</v>
      </c>
      <c r="S28" s="60" t="s">
        <v>153</v>
      </c>
      <c r="T28" s="61">
        <v>793.95000000000016</v>
      </c>
      <c r="U28" s="56">
        <v>20</v>
      </c>
      <c r="V28" s="61">
        <v>150</v>
      </c>
    </row>
    <row r="29" spans="2:23" ht="26.25" thickBot="1" x14ac:dyDescent="0.3">
      <c r="B29" s="55" t="str">
        <f t="shared" si="1"/>
        <v>Duct Sealing_Zone 2_30% or more of supply ducts in unconditioned space</v>
      </c>
      <c r="C29" s="55" t="str">
        <f t="shared" si="0"/>
        <v>Ducting - Repair and Sealing_CZ2 - Single Family_Existing_10% air leak to outside_50% reduction in duct leakage</v>
      </c>
      <c r="D29" s="62">
        <v>26</v>
      </c>
      <c r="E29" s="62" t="s">
        <v>116</v>
      </c>
      <c r="F29" s="63" t="s">
        <v>41</v>
      </c>
      <c r="G29" s="63" t="s">
        <v>23</v>
      </c>
      <c r="H29" s="63" t="s">
        <v>42</v>
      </c>
      <c r="I29" s="64" t="s">
        <v>146</v>
      </c>
      <c r="J29" s="64" t="s">
        <v>123</v>
      </c>
      <c r="K29" s="64" t="s">
        <v>119</v>
      </c>
      <c r="L29" s="64" t="s">
        <v>147</v>
      </c>
      <c r="M29" s="64" t="s">
        <v>148</v>
      </c>
      <c r="N29" s="62">
        <v>28</v>
      </c>
      <c r="O29" s="65">
        <v>793.95</v>
      </c>
      <c r="P29" s="62">
        <v>30</v>
      </c>
      <c r="Q29" s="65">
        <v>150</v>
      </c>
      <c r="R29" s="66">
        <v>69.207366856046079</v>
      </c>
      <c r="S29" s="66" t="s">
        <v>153</v>
      </c>
      <c r="T29" s="67">
        <v>793.95000000000016</v>
      </c>
      <c r="U29" s="68">
        <v>20</v>
      </c>
      <c r="V29" s="67">
        <v>150</v>
      </c>
    </row>
    <row r="30" spans="2:23" ht="26.25" thickBot="1" x14ac:dyDescent="0.3">
      <c r="B30" s="55" t="str">
        <f t="shared" si="1"/>
        <v>Duct Sealing_Zone 3_30% or more of supply ducts in unconditioned space</v>
      </c>
      <c r="C30" s="55" t="str">
        <f t="shared" si="0"/>
        <v>Ducting - Repair and Sealing_CZ3 - Single Family_Existing_10% air leak to outside_50% reduction in duct leakage</v>
      </c>
      <c r="D30" s="56">
        <v>27</v>
      </c>
      <c r="E30" s="56" t="s">
        <v>116</v>
      </c>
      <c r="F30" s="57" t="s">
        <v>41</v>
      </c>
      <c r="G30" s="57" t="s">
        <v>24</v>
      </c>
      <c r="H30" s="57" t="s">
        <v>42</v>
      </c>
      <c r="I30" s="57" t="s">
        <v>146</v>
      </c>
      <c r="J30" s="57" t="s">
        <v>124</v>
      </c>
      <c r="K30" s="57" t="s">
        <v>119</v>
      </c>
      <c r="L30" s="57" t="s">
        <v>147</v>
      </c>
      <c r="M30" s="57" t="s">
        <v>148</v>
      </c>
      <c r="N30" s="58">
        <v>28</v>
      </c>
      <c r="O30" s="59">
        <v>793.95</v>
      </c>
      <c r="P30" s="58">
        <v>30</v>
      </c>
      <c r="Q30" s="59">
        <v>150</v>
      </c>
      <c r="R30" s="60">
        <v>60.782005258812696</v>
      </c>
      <c r="S30" s="60" t="s">
        <v>153</v>
      </c>
      <c r="T30" s="61">
        <v>793.95000000000016</v>
      </c>
      <c r="U30" s="56">
        <v>20</v>
      </c>
      <c r="V30" s="61">
        <v>150</v>
      </c>
    </row>
    <row r="31" spans="2:23" ht="26.25" thickBot="1" x14ac:dyDescent="0.3">
      <c r="B31" s="55" t="str">
        <f t="shared" si="1"/>
        <v>Energy Savings Kit 1_Zone 1_One Low Flow Showerhead plus Aerators</v>
      </c>
      <c r="C31" s="55" t="str">
        <f t="shared" si="0"/>
        <v>Water Heater - Low Flow Showerhead (1.5 or 2.0 GPM?)_CZ1 - Single Family_Existing_3.5 GPM showerhead_2.0/1.5 GPM showerhead?</v>
      </c>
      <c r="D31" s="62">
        <v>28</v>
      </c>
      <c r="E31" s="62" t="s">
        <v>116</v>
      </c>
      <c r="F31" s="63" t="s">
        <v>43</v>
      </c>
      <c r="G31" s="63" t="s">
        <v>21</v>
      </c>
      <c r="H31" s="63" t="s">
        <v>44</v>
      </c>
      <c r="I31" s="64" t="s">
        <v>149</v>
      </c>
      <c r="J31" s="64" t="s">
        <v>118</v>
      </c>
      <c r="K31" s="64" t="s">
        <v>119</v>
      </c>
      <c r="L31" s="64" t="s">
        <v>150</v>
      </c>
      <c r="M31" s="64" t="s">
        <v>151</v>
      </c>
      <c r="N31" s="62">
        <v>17</v>
      </c>
      <c r="O31" s="65">
        <v>10</v>
      </c>
      <c r="P31" s="62">
        <v>10</v>
      </c>
      <c r="Q31" s="65">
        <v>10</v>
      </c>
      <c r="R31" s="66" t="s">
        <v>125</v>
      </c>
      <c r="S31" s="66" t="s">
        <v>125</v>
      </c>
      <c r="T31" s="67" t="s">
        <v>125</v>
      </c>
      <c r="U31" s="68" t="s">
        <v>125</v>
      </c>
      <c r="V31" s="67" t="s">
        <v>125</v>
      </c>
      <c r="W31" t="s">
        <v>152</v>
      </c>
    </row>
    <row r="32" spans="2:23" ht="26.25" thickBot="1" x14ac:dyDescent="0.3">
      <c r="B32" s="55" t="str">
        <f t="shared" si="1"/>
        <v>Energy Savings Kit 1_Zone 2_One Low Flow Showerhead plus Aerators</v>
      </c>
      <c r="C32" s="55" t="str">
        <f t="shared" si="0"/>
        <v>Water Heater - Low Flow Showerhead (1.5 or 2.0 GPM?)_CZ2 - Single Family_Existing_3.5 GPM showerhead_2.0/1.5 GPM showerhead?</v>
      </c>
      <c r="D32" s="56">
        <v>29</v>
      </c>
      <c r="E32" s="56" t="s">
        <v>116</v>
      </c>
      <c r="F32" s="57" t="s">
        <v>43</v>
      </c>
      <c r="G32" s="57" t="s">
        <v>23</v>
      </c>
      <c r="H32" s="57" t="s">
        <v>44</v>
      </c>
      <c r="I32" s="57" t="s">
        <v>149</v>
      </c>
      <c r="J32" s="57" t="s">
        <v>123</v>
      </c>
      <c r="K32" s="57" t="s">
        <v>119</v>
      </c>
      <c r="L32" s="57" t="s">
        <v>150</v>
      </c>
      <c r="M32" s="57" t="s">
        <v>151</v>
      </c>
      <c r="N32" s="58">
        <v>17</v>
      </c>
      <c r="O32" s="59">
        <v>10</v>
      </c>
      <c r="P32" s="58">
        <v>10</v>
      </c>
      <c r="Q32" s="59">
        <v>10</v>
      </c>
      <c r="R32" s="60" t="s">
        <v>125</v>
      </c>
      <c r="S32" s="60" t="s">
        <v>125</v>
      </c>
      <c r="T32" s="61" t="s">
        <v>125</v>
      </c>
      <c r="U32" s="56" t="s">
        <v>125</v>
      </c>
      <c r="V32" s="61" t="s">
        <v>125</v>
      </c>
      <c r="W32" t="s">
        <v>152</v>
      </c>
    </row>
    <row r="33" spans="2:23" ht="26.25" thickBot="1" x14ac:dyDescent="0.3">
      <c r="B33" s="55" t="str">
        <f t="shared" si="1"/>
        <v>Energy Savings Kit 1_Zone 3_One Low Flow Showerhead plus Aerators</v>
      </c>
      <c r="C33" s="55" t="str">
        <f t="shared" si="0"/>
        <v>Water Heater - Low Flow Showerhead (1.5 or 2.0 GPM?)_CZ3 - Single Family_Existing_3.5 GPM showerhead_2.0/1.5 GPM showerhead?</v>
      </c>
      <c r="D33" s="62">
        <v>30</v>
      </c>
      <c r="E33" s="62" t="s">
        <v>116</v>
      </c>
      <c r="F33" s="63" t="s">
        <v>43</v>
      </c>
      <c r="G33" s="63" t="s">
        <v>24</v>
      </c>
      <c r="H33" s="63" t="s">
        <v>44</v>
      </c>
      <c r="I33" s="64" t="s">
        <v>149</v>
      </c>
      <c r="J33" s="64" t="s">
        <v>124</v>
      </c>
      <c r="K33" s="64" t="s">
        <v>119</v>
      </c>
      <c r="L33" s="64" t="s">
        <v>150</v>
      </c>
      <c r="M33" s="64" t="s">
        <v>151</v>
      </c>
      <c r="N33" s="62">
        <v>17</v>
      </c>
      <c r="O33" s="65">
        <v>10</v>
      </c>
      <c r="P33" s="62">
        <v>10</v>
      </c>
      <c r="Q33" s="65">
        <v>10</v>
      </c>
      <c r="R33" s="66" t="s">
        <v>125</v>
      </c>
      <c r="S33" s="66" t="s">
        <v>125</v>
      </c>
      <c r="T33" s="67" t="s">
        <v>125</v>
      </c>
      <c r="U33" s="68" t="s">
        <v>125</v>
      </c>
      <c r="V33" s="67" t="s">
        <v>125</v>
      </c>
      <c r="W33" t="s">
        <v>152</v>
      </c>
    </row>
    <row r="34" spans="2:23" ht="26.25" thickBot="1" x14ac:dyDescent="0.3">
      <c r="B34" s="55" t="str">
        <f t="shared" si="1"/>
        <v>Energy Savings Kit 2_Zone 1_Two Low Flow Showerheads plus Aerators</v>
      </c>
      <c r="C34" s="55" t="str">
        <f t="shared" si="0"/>
        <v>Water Heater - Low Flow Showerhead (1.5 or 2.0 GPM?)_CZ1 - Single Family_Existing_3.5 GPM showerhead_2.0/1.5 GPM showerhead?</v>
      </c>
      <c r="D34" s="56">
        <v>31</v>
      </c>
      <c r="E34" s="56" t="s">
        <v>116</v>
      </c>
      <c r="F34" s="57" t="s">
        <v>45</v>
      </c>
      <c r="G34" s="57" t="s">
        <v>21</v>
      </c>
      <c r="H34" s="57" t="s">
        <v>46</v>
      </c>
      <c r="I34" s="57" t="s">
        <v>149</v>
      </c>
      <c r="J34" s="57" t="s">
        <v>118</v>
      </c>
      <c r="K34" s="57" t="s">
        <v>119</v>
      </c>
      <c r="L34" s="57" t="s">
        <v>150</v>
      </c>
      <c r="M34" s="57" t="s">
        <v>151</v>
      </c>
      <c r="N34" s="58">
        <v>31</v>
      </c>
      <c r="O34" s="59">
        <v>16</v>
      </c>
      <c r="P34" s="58">
        <v>10</v>
      </c>
      <c r="Q34" s="59">
        <v>16</v>
      </c>
      <c r="R34" s="60" t="s">
        <v>125</v>
      </c>
      <c r="S34" s="60" t="s">
        <v>125</v>
      </c>
      <c r="T34" s="61" t="s">
        <v>125</v>
      </c>
      <c r="U34" s="56" t="s">
        <v>125</v>
      </c>
      <c r="V34" s="61" t="s">
        <v>125</v>
      </c>
      <c r="W34" t="s">
        <v>152</v>
      </c>
    </row>
    <row r="35" spans="2:23" ht="26.25" thickBot="1" x14ac:dyDescent="0.3">
      <c r="B35" s="55" t="str">
        <f t="shared" si="1"/>
        <v>Energy Savings Kit 2_Zone 2_Two Low Flow Showerheads plus Aerators</v>
      </c>
      <c r="C35" s="55" t="str">
        <f t="shared" si="0"/>
        <v>Water Heater - Low Flow Showerhead (1.5 or 2.0 GPM?)_CZ2 - Single Family_Existing_3.5 GPM showerhead_2.0/1.5 GPM showerhead?</v>
      </c>
      <c r="D35" s="62">
        <v>32</v>
      </c>
      <c r="E35" s="62" t="s">
        <v>116</v>
      </c>
      <c r="F35" s="63" t="s">
        <v>45</v>
      </c>
      <c r="G35" s="63" t="s">
        <v>23</v>
      </c>
      <c r="H35" s="63" t="s">
        <v>46</v>
      </c>
      <c r="I35" s="64" t="s">
        <v>149</v>
      </c>
      <c r="J35" s="64" t="s">
        <v>123</v>
      </c>
      <c r="K35" s="64" t="s">
        <v>119</v>
      </c>
      <c r="L35" s="64" t="s">
        <v>150</v>
      </c>
      <c r="M35" s="64" t="s">
        <v>151</v>
      </c>
      <c r="N35" s="62">
        <v>31</v>
      </c>
      <c r="O35" s="65">
        <v>16</v>
      </c>
      <c r="P35" s="62">
        <v>10</v>
      </c>
      <c r="Q35" s="65">
        <v>16</v>
      </c>
      <c r="R35" s="66" t="s">
        <v>125</v>
      </c>
      <c r="S35" s="66" t="s">
        <v>125</v>
      </c>
      <c r="T35" s="67" t="s">
        <v>125</v>
      </c>
      <c r="U35" s="68" t="s">
        <v>125</v>
      </c>
      <c r="V35" s="67" t="s">
        <v>125</v>
      </c>
      <c r="W35" t="s">
        <v>152</v>
      </c>
    </row>
    <row r="36" spans="2:23" ht="26.25" thickBot="1" x14ac:dyDescent="0.3">
      <c r="B36" s="55" t="str">
        <f t="shared" si="1"/>
        <v>Energy Savings Kit 2_Zone 3_Two Low Flow Showerheads plus Aerators</v>
      </c>
      <c r="C36" s="55" t="str">
        <f t="shared" si="0"/>
        <v>Water Heater - Low Flow Showerhead (1.5 or 2.0 GPM?)_CZ3 - Single Family_Existing_3.5 GPM showerhead_2.0/1.5 GPM showerhead?</v>
      </c>
      <c r="D36" s="56">
        <v>33</v>
      </c>
      <c r="E36" s="56" t="s">
        <v>116</v>
      </c>
      <c r="F36" s="57" t="s">
        <v>45</v>
      </c>
      <c r="G36" s="57" t="s">
        <v>24</v>
      </c>
      <c r="H36" s="57" t="s">
        <v>46</v>
      </c>
      <c r="I36" s="57" t="s">
        <v>149</v>
      </c>
      <c r="J36" s="57" t="s">
        <v>124</v>
      </c>
      <c r="K36" s="57" t="s">
        <v>119</v>
      </c>
      <c r="L36" s="57" t="s">
        <v>150</v>
      </c>
      <c r="M36" s="57" t="s">
        <v>151</v>
      </c>
      <c r="N36" s="58">
        <v>34</v>
      </c>
      <c r="O36" s="59">
        <v>16</v>
      </c>
      <c r="P36" s="58">
        <v>10</v>
      </c>
      <c r="Q36" s="59">
        <v>16</v>
      </c>
      <c r="R36" s="60" t="s">
        <v>125</v>
      </c>
      <c r="S36" s="60" t="s">
        <v>125</v>
      </c>
      <c r="T36" s="61" t="s">
        <v>125</v>
      </c>
      <c r="U36" s="56" t="s">
        <v>125</v>
      </c>
      <c r="V36" s="61" t="s">
        <v>125</v>
      </c>
      <c r="W36" t="s">
        <v>152</v>
      </c>
    </row>
    <row r="37" spans="2:23" ht="26.25" thickBot="1" x14ac:dyDescent="0.3">
      <c r="B37" s="55" t="str">
        <f t="shared" si="1"/>
        <v>ENERGY STAR® Certified Homes + U.30 Window Glazing_Zone 2_Certified HERS 75</v>
      </c>
      <c r="C37" s="55" t="str">
        <f t="shared" si="0"/>
        <v>ENERGY STAR Homes_CZ2 - Single Family_New_WA Building Code_Built Green spec (NC Only)</v>
      </c>
      <c r="D37" s="62">
        <v>34</v>
      </c>
      <c r="E37" s="62" t="s">
        <v>116</v>
      </c>
      <c r="F37" s="63" t="s">
        <v>188</v>
      </c>
      <c r="G37" s="63" t="s">
        <v>23</v>
      </c>
      <c r="H37" s="63" t="s">
        <v>48</v>
      </c>
      <c r="I37" s="64" t="s">
        <v>303</v>
      </c>
      <c r="J37" s="64" t="s">
        <v>123</v>
      </c>
      <c r="K37" s="64" t="s">
        <v>128</v>
      </c>
      <c r="L37" s="64" t="s">
        <v>129</v>
      </c>
      <c r="M37" s="64" t="s">
        <v>130</v>
      </c>
      <c r="N37" s="62">
        <v>168</v>
      </c>
      <c r="O37" s="65">
        <v>1142</v>
      </c>
      <c r="P37" s="62">
        <v>30</v>
      </c>
      <c r="Q37" s="65">
        <v>2000</v>
      </c>
      <c r="R37" s="66">
        <v>51.724608429932317</v>
      </c>
      <c r="S37" s="66" t="s">
        <v>153</v>
      </c>
      <c r="T37" s="67">
        <v>1765.16</v>
      </c>
      <c r="U37" s="68">
        <v>30</v>
      </c>
      <c r="V37" s="67">
        <v>811.97507200000007</v>
      </c>
    </row>
    <row r="38" spans="2:23" ht="15.75" thickBot="1" x14ac:dyDescent="0.3">
      <c r="B38" s="55" t="str">
        <f t="shared" si="1"/>
        <v>ENERGY STAR Certified Homes + U.30 Window Glazing_Zone 3_Certified HERS 75</v>
      </c>
      <c r="C38" s="55" t="str">
        <f t="shared" si="0"/>
        <v>ENERGY STAR Homes_CZ3 - Single Family_New_WA Building Code_Built Green spec (NC Only)</v>
      </c>
      <c r="D38" s="56">
        <v>35</v>
      </c>
      <c r="E38" s="56" t="s">
        <v>116</v>
      </c>
      <c r="F38" s="57" t="s">
        <v>47</v>
      </c>
      <c r="G38" s="57" t="s">
        <v>24</v>
      </c>
      <c r="H38" s="57" t="s">
        <v>48</v>
      </c>
      <c r="I38" s="57" t="s">
        <v>303</v>
      </c>
      <c r="J38" s="57" t="s">
        <v>124</v>
      </c>
      <c r="K38" s="57" t="s">
        <v>128</v>
      </c>
      <c r="L38" s="57" t="s">
        <v>129</v>
      </c>
      <c r="M38" s="57" t="s">
        <v>130</v>
      </c>
      <c r="N38" s="58">
        <v>205</v>
      </c>
      <c r="O38" s="59">
        <v>1142</v>
      </c>
      <c r="P38" s="58">
        <v>30</v>
      </c>
      <c r="Q38" s="59">
        <v>2000</v>
      </c>
      <c r="R38" s="60">
        <v>48.510927882072011</v>
      </c>
      <c r="S38" s="60" t="s">
        <v>153</v>
      </c>
      <c r="T38" s="61">
        <v>2154.5300000000002</v>
      </c>
      <c r="U38" s="56">
        <v>30</v>
      </c>
      <c r="V38" s="61">
        <v>1098.811524</v>
      </c>
    </row>
    <row r="39" spans="2:23" ht="15.75" thickBot="1" x14ac:dyDescent="0.3">
      <c r="B39" s="55" t="str">
        <f t="shared" si="1"/>
        <v>ENERGY STAR Certified Homes + U.30 Window Glazing_Zone 3_Certified HERS 75</v>
      </c>
      <c r="C39" s="55" t="str">
        <f t="shared" si="0"/>
        <v>ENERGY STAR Homes_CZ3 - Single Family_New_WA Building Code_Built Green spec (NC Only)</v>
      </c>
      <c r="D39" s="62">
        <v>36</v>
      </c>
      <c r="E39" s="62" t="s">
        <v>116</v>
      </c>
      <c r="F39" s="63" t="s">
        <v>47</v>
      </c>
      <c r="G39" s="63" t="s">
        <v>24</v>
      </c>
      <c r="H39" s="63" t="s">
        <v>48</v>
      </c>
      <c r="I39" s="64" t="s">
        <v>303</v>
      </c>
      <c r="J39" s="64" t="s">
        <v>124</v>
      </c>
      <c r="K39" s="64" t="s">
        <v>128</v>
      </c>
      <c r="L39" s="64" t="s">
        <v>129</v>
      </c>
      <c r="M39" s="64" t="s">
        <v>130</v>
      </c>
      <c r="N39" s="62">
        <v>205</v>
      </c>
      <c r="O39" s="65">
        <v>1142</v>
      </c>
      <c r="P39" s="62">
        <v>30</v>
      </c>
      <c r="Q39" s="65">
        <v>2000</v>
      </c>
      <c r="R39" s="66">
        <v>48.510927882072011</v>
      </c>
      <c r="S39" s="66" t="s">
        <v>153</v>
      </c>
      <c r="T39" s="67">
        <v>2154.5300000000002</v>
      </c>
      <c r="U39" s="68">
        <v>30</v>
      </c>
      <c r="V39" s="67">
        <v>1098.811524</v>
      </c>
    </row>
    <row r="40" spans="2:23" ht="27.6" customHeight="1" thickBot="1" x14ac:dyDescent="0.3">
      <c r="B40" s="55" t="str">
        <f t="shared" si="1"/>
        <v>Floor Insulation_Zone 1_Post R 30+, or to fill cavity</v>
      </c>
      <c r="C40" s="55" t="str">
        <f t="shared" si="0"/>
        <v>Insulation - Floor/Crawlspace_CZ1 - Single Family_Existing_R-0_R-30</v>
      </c>
      <c r="D40" s="56">
        <v>37</v>
      </c>
      <c r="E40" s="56" t="s">
        <v>116</v>
      </c>
      <c r="F40" s="57" t="s">
        <v>49</v>
      </c>
      <c r="G40" s="57" t="s">
        <v>21</v>
      </c>
      <c r="H40" s="57" t="s">
        <v>50</v>
      </c>
      <c r="I40" s="57" t="s">
        <v>154</v>
      </c>
      <c r="J40" s="57" t="s">
        <v>118</v>
      </c>
      <c r="K40" s="57" t="s">
        <v>119</v>
      </c>
      <c r="L40" s="57" t="s">
        <v>133</v>
      </c>
      <c r="M40" s="57" t="s">
        <v>155</v>
      </c>
      <c r="N40" s="58">
        <v>5.6000000000000001E-2</v>
      </c>
      <c r="O40" s="59">
        <v>1.08</v>
      </c>
      <c r="P40" s="58">
        <v>45</v>
      </c>
      <c r="Q40" s="59">
        <v>0.75</v>
      </c>
      <c r="R40" s="60">
        <v>3.44981864457393E-2</v>
      </c>
      <c r="S40" s="60" t="s">
        <v>189</v>
      </c>
      <c r="T40" s="61">
        <v>1.5599999999999998</v>
      </c>
      <c r="U40" s="56">
        <v>45</v>
      </c>
      <c r="V40" s="61">
        <v>0.74997661397417603</v>
      </c>
    </row>
    <row r="41" spans="2:23" ht="15.75" thickBot="1" x14ac:dyDescent="0.3">
      <c r="B41" s="55" t="str">
        <f t="shared" si="1"/>
        <v>Floor Insulation_Zone 2_Post R 30+, or to fill cavity</v>
      </c>
      <c r="C41" s="55" t="str">
        <f t="shared" si="0"/>
        <v>Insulation - Floor/Crawlspace_CZ2 - Single Family_Existing_R-0_R-30</v>
      </c>
      <c r="D41" s="62">
        <v>38</v>
      </c>
      <c r="E41" s="62" t="s">
        <v>116</v>
      </c>
      <c r="F41" s="63" t="s">
        <v>49</v>
      </c>
      <c r="G41" s="63" t="s">
        <v>23</v>
      </c>
      <c r="H41" s="63" t="s">
        <v>50</v>
      </c>
      <c r="I41" s="64" t="s">
        <v>154</v>
      </c>
      <c r="J41" s="64" t="s">
        <v>123</v>
      </c>
      <c r="K41" s="64" t="s">
        <v>119</v>
      </c>
      <c r="L41" s="64" t="s">
        <v>133</v>
      </c>
      <c r="M41" s="64" t="s">
        <v>155</v>
      </c>
      <c r="N41" s="62">
        <v>5.3999999999999999E-2</v>
      </c>
      <c r="O41" s="65">
        <v>1.08</v>
      </c>
      <c r="P41" s="62">
        <v>45</v>
      </c>
      <c r="Q41" s="65">
        <v>0.75</v>
      </c>
      <c r="R41" s="66">
        <v>4.333916799179504E-2</v>
      </c>
      <c r="S41" s="66" t="s">
        <v>189</v>
      </c>
      <c r="T41" s="67">
        <v>1.5599999999999998</v>
      </c>
      <c r="U41" s="68">
        <v>45</v>
      </c>
      <c r="V41" s="67">
        <v>0.74997661397417603</v>
      </c>
    </row>
    <row r="42" spans="2:23" ht="15.75" thickBot="1" x14ac:dyDescent="0.3">
      <c r="B42" s="55" t="str">
        <f t="shared" si="1"/>
        <v>Floor Insulation_Zone 3_Post R 30+, or to fill cavity</v>
      </c>
      <c r="C42" s="55" t="str">
        <f t="shared" si="0"/>
        <v>Insulation - Floor/Crawlspace_CZ3 - Single Family_Existing_R-0_R-30</v>
      </c>
      <c r="D42" s="56">
        <v>39</v>
      </c>
      <c r="E42" s="56" t="s">
        <v>116</v>
      </c>
      <c r="F42" s="57" t="s">
        <v>49</v>
      </c>
      <c r="G42" s="57" t="s">
        <v>24</v>
      </c>
      <c r="H42" s="57" t="s">
        <v>50</v>
      </c>
      <c r="I42" s="57" t="s">
        <v>154</v>
      </c>
      <c r="J42" s="57" t="s">
        <v>124</v>
      </c>
      <c r="K42" s="57" t="s">
        <v>119</v>
      </c>
      <c r="L42" s="57" t="s">
        <v>133</v>
      </c>
      <c r="M42" s="57" t="s">
        <v>155</v>
      </c>
      <c r="N42" s="58">
        <v>5.8999999999999997E-2</v>
      </c>
      <c r="O42" s="59">
        <v>1.08</v>
      </c>
      <c r="P42" s="58">
        <v>45</v>
      </c>
      <c r="Q42" s="59">
        <v>0.75</v>
      </c>
      <c r="R42" s="60">
        <v>4.333916799179504E-2</v>
      </c>
      <c r="S42" s="60" t="s">
        <v>189</v>
      </c>
      <c r="T42" s="61">
        <v>1.5599999999999998</v>
      </c>
      <c r="U42" s="56">
        <v>45</v>
      </c>
      <c r="V42" s="61">
        <v>0.74997661397417603</v>
      </c>
    </row>
    <row r="43" spans="2:23" ht="39" thickBot="1" x14ac:dyDescent="0.3">
      <c r="B43" s="55" t="str">
        <f t="shared" si="1"/>
        <v>High-Efficiency Combination Domestic Hot Water &amp; Hydronic Space Heating System_Zone 1_95+% (AFUE) Hydronic Space Heating &amp; DHW</v>
      </c>
      <c r="C43" s="55" t="str">
        <f t="shared" si="0"/>
        <v>Combined Boiler + DHW System (Storage Tank)_CZ1 - Single Family_Existing_Gas space heating AFUE 80% and water heating baseline storage tank 40 gal_Combined tankless boiler unit for space and DHW</v>
      </c>
      <c r="D43" s="62">
        <v>40</v>
      </c>
      <c r="E43" s="62" t="s">
        <v>116</v>
      </c>
      <c r="F43" s="63" t="s">
        <v>87</v>
      </c>
      <c r="G43" s="63" t="s">
        <v>21</v>
      </c>
      <c r="H43" s="63" t="s">
        <v>89</v>
      </c>
      <c r="I43" s="64" t="s">
        <v>156</v>
      </c>
      <c r="J43" s="64" t="s">
        <v>118</v>
      </c>
      <c r="K43" s="64" t="s">
        <v>119</v>
      </c>
      <c r="L43" s="64" t="s">
        <v>157</v>
      </c>
      <c r="M43" s="64" t="s">
        <v>158</v>
      </c>
      <c r="N43" s="62">
        <v>159</v>
      </c>
      <c r="O43" s="65">
        <v>2500</v>
      </c>
      <c r="P43" s="62">
        <v>21</v>
      </c>
      <c r="Q43" s="65">
        <v>1250</v>
      </c>
      <c r="R43" s="66">
        <v>148.96985837512395</v>
      </c>
      <c r="S43" s="66" t="s">
        <v>153</v>
      </c>
      <c r="T43" s="67">
        <v>5190.57</v>
      </c>
      <c r="U43" s="68">
        <v>21</v>
      </c>
      <c r="V43" s="67">
        <v>599.99999896449128</v>
      </c>
    </row>
    <row r="44" spans="2:23" ht="39" thickBot="1" x14ac:dyDescent="0.3">
      <c r="B44" s="55" t="str">
        <f t="shared" si="1"/>
        <v>High-Efficiency Combination Domestic Hot Water &amp; Hydronic Space Heating System_Zone 2_95+%  (AFUE) Hydronic Space Heating &amp; DHW</v>
      </c>
      <c r="C44" s="55" t="str">
        <f t="shared" si="0"/>
        <v>Combined Boiler + DHW System (Storage Tank)_CZ2 - Single Family_Existing_Gas space heating AFUE 80% and water heating baseline storage tank 40 gal_Combined tankless boiler unit for space and DHW</v>
      </c>
      <c r="D44" s="56">
        <v>41</v>
      </c>
      <c r="E44" s="56" t="s">
        <v>116</v>
      </c>
      <c r="F44" s="57" t="s">
        <v>87</v>
      </c>
      <c r="G44" s="57" t="s">
        <v>23</v>
      </c>
      <c r="H44" s="57" t="s">
        <v>90</v>
      </c>
      <c r="I44" s="57" t="s">
        <v>156</v>
      </c>
      <c r="J44" s="57" t="s">
        <v>123</v>
      </c>
      <c r="K44" s="57" t="s">
        <v>119</v>
      </c>
      <c r="L44" s="57" t="s">
        <v>157</v>
      </c>
      <c r="M44" s="57" t="s">
        <v>158</v>
      </c>
      <c r="N44" s="58">
        <v>160</v>
      </c>
      <c r="O44" s="59">
        <v>2500</v>
      </c>
      <c r="P44" s="58">
        <v>21</v>
      </c>
      <c r="Q44" s="59">
        <v>1250</v>
      </c>
      <c r="R44" s="60">
        <v>146.03600407141286</v>
      </c>
      <c r="S44" s="60" t="s">
        <v>153</v>
      </c>
      <c r="T44" s="61">
        <v>5190.57</v>
      </c>
      <c r="U44" s="56">
        <v>21</v>
      </c>
      <c r="V44" s="61">
        <v>599.99999896449128</v>
      </c>
    </row>
    <row r="45" spans="2:23" ht="15.75" thickBot="1" x14ac:dyDescent="0.3">
      <c r="B45" s="55" t="str">
        <f t="shared" si="1"/>
        <v>High-Efficiency Exterior Entry (not sliding) Door_Zone 1_U-Factor &lt;0.21, Energy Star Door</v>
      </c>
      <c r="C45" s="55" t="str">
        <f t="shared" si="0"/>
        <v>Doors - Storm and Thermal_CZ1 - Single Family_Existing_R-2.5 door_R-5 door</v>
      </c>
      <c r="D45" s="62">
        <v>42</v>
      </c>
      <c r="E45" s="62" t="s">
        <v>116</v>
      </c>
      <c r="F45" s="63" t="s">
        <v>51</v>
      </c>
      <c r="G45" s="63" t="s">
        <v>21</v>
      </c>
      <c r="H45" s="63" t="s">
        <v>52</v>
      </c>
      <c r="I45" s="64" t="s">
        <v>159</v>
      </c>
      <c r="J45" s="64" t="s">
        <v>118</v>
      </c>
      <c r="K45" s="64" t="s">
        <v>119</v>
      </c>
      <c r="L45" s="64" t="s">
        <v>160</v>
      </c>
      <c r="M45" s="64" t="s">
        <v>161</v>
      </c>
      <c r="N45" s="62">
        <v>13</v>
      </c>
      <c r="O45" s="65">
        <v>200</v>
      </c>
      <c r="P45" s="62">
        <v>25</v>
      </c>
      <c r="Q45" s="65">
        <v>100</v>
      </c>
      <c r="R45" s="66">
        <v>6.4089337258906038</v>
      </c>
      <c r="S45" s="66" t="s">
        <v>162</v>
      </c>
      <c r="T45" s="67">
        <v>410.13</v>
      </c>
      <c r="U45" s="68">
        <v>45</v>
      </c>
      <c r="V45" s="67">
        <v>49.99993907512728</v>
      </c>
      <c r="W45" t="s">
        <v>163</v>
      </c>
    </row>
    <row r="46" spans="2:23" ht="15.75" thickBot="1" x14ac:dyDescent="0.3">
      <c r="B46" s="55" t="str">
        <f t="shared" si="1"/>
        <v>High-Efficiency Exterior Entry (not sliding) Door_Zone 2_U-Factor &lt;0.21, Energy Star Door</v>
      </c>
      <c r="C46" s="55" t="str">
        <f t="shared" si="0"/>
        <v>Doors - Storm and Thermal_CZ2 - Single Family_Existing_R-2.5 door_R-5 door</v>
      </c>
      <c r="D46" s="56">
        <v>43</v>
      </c>
      <c r="E46" s="56" t="s">
        <v>116</v>
      </c>
      <c r="F46" s="57" t="s">
        <v>51</v>
      </c>
      <c r="G46" s="57" t="s">
        <v>23</v>
      </c>
      <c r="H46" s="57" t="s">
        <v>52</v>
      </c>
      <c r="I46" s="57" t="s">
        <v>159</v>
      </c>
      <c r="J46" s="57" t="s">
        <v>123</v>
      </c>
      <c r="K46" s="57" t="s">
        <v>119</v>
      </c>
      <c r="L46" s="57" t="s">
        <v>160</v>
      </c>
      <c r="M46" s="57" t="s">
        <v>161</v>
      </c>
      <c r="N46" s="58">
        <v>13</v>
      </c>
      <c r="O46" s="59">
        <v>200</v>
      </c>
      <c r="P46" s="58">
        <v>25</v>
      </c>
      <c r="Q46" s="59">
        <v>100</v>
      </c>
      <c r="R46" s="60">
        <v>9.1929593665283793</v>
      </c>
      <c r="S46" s="60" t="s">
        <v>162</v>
      </c>
      <c r="T46" s="61">
        <v>410.13</v>
      </c>
      <c r="U46" s="56">
        <v>45</v>
      </c>
      <c r="V46" s="61">
        <v>49.99993907512728</v>
      </c>
      <c r="W46" t="s">
        <v>163</v>
      </c>
    </row>
    <row r="47" spans="2:23" ht="15.75" thickBot="1" x14ac:dyDescent="0.3">
      <c r="B47" s="55" t="str">
        <f t="shared" si="1"/>
        <v>High-Efficiency Exterior Entry (not sliding) Door_Zone 3_U-Factor &lt;0.21, Energy Star Door</v>
      </c>
      <c r="C47" s="55" t="str">
        <f t="shared" si="0"/>
        <v>Doors - Storm and Thermal_CZ3 - Single Family_Existing_R-2.5 door_R-5 door</v>
      </c>
      <c r="D47" s="62">
        <v>44</v>
      </c>
      <c r="E47" s="62" t="s">
        <v>116</v>
      </c>
      <c r="F47" s="63" t="s">
        <v>51</v>
      </c>
      <c r="G47" s="63" t="s">
        <v>24</v>
      </c>
      <c r="H47" s="63" t="s">
        <v>52</v>
      </c>
      <c r="I47" s="64" t="s">
        <v>159</v>
      </c>
      <c r="J47" s="64" t="s">
        <v>124</v>
      </c>
      <c r="K47" s="64" t="s">
        <v>119</v>
      </c>
      <c r="L47" s="64" t="s">
        <v>160</v>
      </c>
      <c r="M47" s="64" t="s">
        <v>161</v>
      </c>
      <c r="N47" s="62">
        <v>13</v>
      </c>
      <c r="O47" s="65">
        <v>200</v>
      </c>
      <c r="P47" s="62">
        <v>25</v>
      </c>
      <c r="Q47" s="65">
        <v>100</v>
      </c>
      <c r="R47" s="66">
        <v>8.8582733125943296</v>
      </c>
      <c r="S47" s="66" t="s">
        <v>162</v>
      </c>
      <c r="T47" s="67">
        <v>410.13</v>
      </c>
      <c r="U47" s="68">
        <v>45</v>
      </c>
      <c r="V47" s="67">
        <v>49.99993907512728</v>
      </c>
      <c r="W47" t="s">
        <v>163</v>
      </c>
    </row>
    <row r="48" spans="2:23" ht="15.75" thickBot="1" x14ac:dyDescent="0.3">
      <c r="B48" s="55" t="str">
        <f t="shared" si="1"/>
        <v>High-Efficiency Natural Gas Furnace_Zone 1_95+% Annual Fuel Utilization Efficiency (AFUE)</v>
      </c>
      <c r="C48" s="55" t="str">
        <f t="shared" si="0"/>
        <v>Furnace - Direct Fuel_CZ1 - Single Family_Existing_AFUE 80%_AFUE 98%</v>
      </c>
      <c r="D48" s="56">
        <v>45</v>
      </c>
      <c r="E48" s="56" t="s">
        <v>116</v>
      </c>
      <c r="F48" s="57" t="s">
        <v>53</v>
      </c>
      <c r="G48" s="57" t="s">
        <v>21</v>
      </c>
      <c r="H48" s="57" t="s">
        <v>36</v>
      </c>
      <c r="I48" s="57" t="s">
        <v>164</v>
      </c>
      <c r="J48" s="57" t="s">
        <v>118</v>
      </c>
      <c r="K48" s="57" t="s">
        <v>119</v>
      </c>
      <c r="L48" s="57" t="s">
        <v>165</v>
      </c>
      <c r="M48" s="57" t="s">
        <v>166</v>
      </c>
      <c r="N48" s="58">
        <v>111</v>
      </c>
      <c r="O48" s="59">
        <v>1024</v>
      </c>
      <c r="P48" s="58">
        <v>18</v>
      </c>
      <c r="Q48" s="59">
        <v>400</v>
      </c>
      <c r="R48" s="60">
        <v>113.50135052949167</v>
      </c>
      <c r="S48" s="60" t="s">
        <v>186</v>
      </c>
      <c r="T48" s="61">
        <v>3045.24</v>
      </c>
      <c r="U48" s="56">
        <v>21.5</v>
      </c>
      <c r="V48" s="61">
        <v>788.17205583714258</v>
      </c>
      <c r="W48" t="s">
        <v>167</v>
      </c>
    </row>
    <row r="49" spans="2:24" ht="15.75" thickBot="1" x14ac:dyDescent="0.3">
      <c r="B49" s="55" t="str">
        <f t="shared" si="1"/>
        <v>High-Efficiency Natural Gas Furnace_Zone 1_95+% Annual Fuel Utilization Efficiency (AFUE)</v>
      </c>
      <c r="C49" s="55" t="str">
        <f t="shared" si="0"/>
        <v>N/A_N/A_N/A_N/A_N/A</v>
      </c>
      <c r="D49" s="62">
        <v>46</v>
      </c>
      <c r="E49" s="62" t="s">
        <v>116</v>
      </c>
      <c r="F49" s="63" t="s">
        <v>53</v>
      </c>
      <c r="G49" s="63" t="s">
        <v>21</v>
      </c>
      <c r="H49" s="63" t="s">
        <v>36</v>
      </c>
      <c r="I49" s="64" t="s">
        <v>125</v>
      </c>
      <c r="J49" s="64" t="s">
        <v>125</v>
      </c>
      <c r="K49" s="64" t="s">
        <v>125</v>
      </c>
      <c r="L49" s="64" t="s">
        <v>125</v>
      </c>
      <c r="M49" s="64" t="s">
        <v>125</v>
      </c>
      <c r="N49" s="62">
        <v>89</v>
      </c>
      <c r="O49" s="65">
        <v>1024</v>
      </c>
      <c r="P49" s="62">
        <v>18</v>
      </c>
      <c r="Q49" s="65">
        <v>400</v>
      </c>
      <c r="R49" s="66">
        <f>R48 * ((0.95-0.8)/(0.98-0.8))</f>
        <v>94.584458774576376</v>
      </c>
      <c r="S49" s="66" t="s">
        <v>186</v>
      </c>
      <c r="T49" s="67">
        <f>T48 * ((0.95-0.8)/(0.98-0.8))</f>
        <v>2537.6999999999994</v>
      </c>
      <c r="U49" s="68">
        <v>21.5</v>
      </c>
      <c r="V49" s="67">
        <f>V48 * ((0.95-0.8)/(0.98-0.8))</f>
        <v>656.81004653095204</v>
      </c>
      <c r="W49" t="s">
        <v>167</v>
      </c>
      <c r="X49" t="s">
        <v>197</v>
      </c>
    </row>
    <row r="50" spans="2:24" ht="15.75" thickBot="1" x14ac:dyDescent="0.3">
      <c r="B50" s="55" t="str">
        <f t="shared" si="1"/>
        <v>High-Efficiency Natural Gas Furnace_Zone 2_95+% Annual Fuel Utilization Efficiency (AFUE)</v>
      </c>
      <c r="C50" s="55" t="str">
        <f t="shared" si="0"/>
        <v>Furnace - Direct Fuel_CZ2 - Single Family_Existing_AFUE 80%_AFUE 98%</v>
      </c>
      <c r="D50" s="56">
        <v>47</v>
      </c>
      <c r="E50" s="56" t="s">
        <v>116</v>
      </c>
      <c r="F50" s="57" t="s">
        <v>53</v>
      </c>
      <c r="G50" s="57" t="s">
        <v>23</v>
      </c>
      <c r="H50" s="57" t="s">
        <v>36</v>
      </c>
      <c r="I50" s="57" t="s">
        <v>164</v>
      </c>
      <c r="J50" s="57" t="s">
        <v>123</v>
      </c>
      <c r="K50" s="57" t="s">
        <v>119</v>
      </c>
      <c r="L50" s="57" t="s">
        <v>165</v>
      </c>
      <c r="M50" s="57" t="s">
        <v>166</v>
      </c>
      <c r="N50" s="58">
        <v>110</v>
      </c>
      <c r="O50" s="59">
        <v>1024</v>
      </c>
      <c r="P50" s="58">
        <v>18</v>
      </c>
      <c r="Q50" s="59">
        <v>400</v>
      </c>
      <c r="R50" s="60">
        <v>114.74113710269388</v>
      </c>
      <c r="S50" s="60" t="s">
        <v>186</v>
      </c>
      <c r="T50" s="61">
        <v>3045.24</v>
      </c>
      <c r="U50" s="56">
        <v>21.5</v>
      </c>
      <c r="V50" s="61">
        <v>788.17205583714258</v>
      </c>
      <c r="W50" t="s">
        <v>167</v>
      </c>
    </row>
    <row r="51" spans="2:24" ht="15.75" thickBot="1" x14ac:dyDescent="0.3">
      <c r="B51" s="55" t="str">
        <f t="shared" si="1"/>
        <v>High-Efficiency Natural Gas Furnace_Zone 2_95+% Annual Fuel Utilization Efficiency (AFUE)</v>
      </c>
      <c r="C51" s="55" t="str">
        <f t="shared" si="0"/>
        <v>N/A_N/A_N/A_N/A_N/A</v>
      </c>
      <c r="D51" s="62">
        <v>48</v>
      </c>
      <c r="E51" s="62" t="s">
        <v>116</v>
      </c>
      <c r="F51" s="63" t="s">
        <v>53</v>
      </c>
      <c r="G51" s="63" t="s">
        <v>23</v>
      </c>
      <c r="H51" s="63" t="s">
        <v>36</v>
      </c>
      <c r="I51" s="64" t="s">
        <v>125</v>
      </c>
      <c r="J51" s="64" t="s">
        <v>125</v>
      </c>
      <c r="K51" s="64" t="s">
        <v>125</v>
      </c>
      <c r="L51" s="64" t="s">
        <v>125</v>
      </c>
      <c r="M51" s="64" t="s">
        <v>125</v>
      </c>
      <c r="N51" s="62">
        <v>90</v>
      </c>
      <c r="O51" s="65">
        <v>1024</v>
      </c>
      <c r="P51" s="62">
        <v>18</v>
      </c>
      <c r="Q51" s="65">
        <v>400</v>
      </c>
      <c r="R51" s="66">
        <f>R50 * ((0.95-0.8)/(0.98-0.8))</f>
        <v>95.617614252244877</v>
      </c>
      <c r="S51" s="66" t="s">
        <v>186</v>
      </c>
      <c r="T51" s="67">
        <f>T50 * ((0.95-0.8)/(0.98-0.8))</f>
        <v>2537.6999999999994</v>
      </c>
      <c r="U51" s="68">
        <v>21.5</v>
      </c>
      <c r="V51" s="67">
        <f>V50 * ((0.95-0.8)/(0.98-0.8))</f>
        <v>656.81004653095204</v>
      </c>
      <c r="W51" t="s">
        <v>167</v>
      </c>
      <c r="X51" t="s">
        <v>197</v>
      </c>
    </row>
    <row r="52" spans="2:24" ht="15.75" thickBot="1" x14ac:dyDescent="0.3">
      <c r="B52" s="55" t="str">
        <f t="shared" si="1"/>
        <v>High-Efficiency Natural Gas Furnace_Zone 3_95+% Annual Fuel Utilization Efficiency (AFUE)</v>
      </c>
      <c r="C52" s="55" t="str">
        <f t="shared" si="0"/>
        <v>Furnace - Direct Fuel_CZ3 - Single Family_Existing_AFUE 80%_AFUE 98%</v>
      </c>
      <c r="D52" s="56">
        <v>49</v>
      </c>
      <c r="E52" s="56" t="s">
        <v>116</v>
      </c>
      <c r="F52" s="57" t="s">
        <v>53</v>
      </c>
      <c r="G52" s="57" t="s">
        <v>24</v>
      </c>
      <c r="H52" s="57" t="s">
        <v>36</v>
      </c>
      <c r="I52" s="57" t="s">
        <v>164</v>
      </c>
      <c r="J52" s="57" t="s">
        <v>124</v>
      </c>
      <c r="K52" s="57" t="s">
        <v>119</v>
      </c>
      <c r="L52" s="57" t="s">
        <v>165</v>
      </c>
      <c r="M52" s="57" t="s">
        <v>166</v>
      </c>
      <c r="N52" s="58">
        <v>111</v>
      </c>
      <c r="O52" s="59">
        <v>1024</v>
      </c>
      <c r="P52" s="58">
        <v>18</v>
      </c>
      <c r="Q52" s="59">
        <v>400</v>
      </c>
      <c r="R52" s="60">
        <v>100.56488436530832</v>
      </c>
      <c r="S52" s="60" t="s">
        <v>186</v>
      </c>
      <c r="T52" s="61">
        <v>3045.24</v>
      </c>
      <c r="U52" s="56">
        <v>21.5</v>
      </c>
      <c r="V52" s="61">
        <v>788.17205583714258</v>
      </c>
      <c r="W52" t="s">
        <v>167</v>
      </c>
    </row>
    <row r="53" spans="2:24" ht="15.75" thickBot="1" x14ac:dyDescent="0.3">
      <c r="B53" s="55" t="str">
        <f t="shared" si="1"/>
        <v>High-Efficiency Natural Gas Furnace_Zone 3_95+% Annual Fuel Utilization Efficiency (AFUE)</v>
      </c>
      <c r="C53" s="55" t="str">
        <f t="shared" si="0"/>
        <v>N/A_N/A_N/A_N/A_N/A</v>
      </c>
      <c r="D53" s="62">
        <v>50</v>
      </c>
      <c r="E53" s="62" t="s">
        <v>116</v>
      </c>
      <c r="F53" s="63" t="s">
        <v>53</v>
      </c>
      <c r="G53" s="63" t="s">
        <v>24</v>
      </c>
      <c r="H53" s="63" t="s">
        <v>36</v>
      </c>
      <c r="I53" s="64" t="s">
        <v>125</v>
      </c>
      <c r="J53" s="64" t="s">
        <v>125</v>
      </c>
      <c r="K53" s="64" t="s">
        <v>125</v>
      </c>
      <c r="L53" s="64" t="s">
        <v>125</v>
      </c>
      <c r="M53" s="64" t="s">
        <v>125</v>
      </c>
      <c r="N53" s="62">
        <v>78</v>
      </c>
      <c r="O53" s="65">
        <v>1024</v>
      </c>
      <c r="P53" s="62">
        <v>18</v>
      </c>
      <c r="Q53" s="65">
        <v>400</v>
      </c>
      <c r="R53" s="66">
        <f>R52 * ((0.95-0.8)/(0.98-0.8))</f>
        <v>83.804070304423576</v>
      </c>
      <c r="S53" s="66" t="s">
        <v>186</v>
      </c>
      <c r="T53" s="67">
        <f>T52 * ((0.95-0.8)/(0.98-0.8))</f>
        <v>2537.6999999999994</v>
      </c>
      <c r="U53" s="68">
        <v>21.5</v>
      </c>
      <c r="V53" s="67">
        <f>V52 * ((0.95-0.8)/(0.98-0.8))</f>
        <v>656.81004653095204</v>
      </c>
      <c r="W53" t="s">
        <v>167</v>
      </c>
      <c r="X53" t="s">
        <v>197</v>
      </c>
    </row>
    <row r="54" spans="2:24" ht="26.25" thickBot="1" x14ac:dyDescent="0.3">
      <c r="B54" s="55" t="str">
        <f t="shared" si="1"/>
        <v>High-Efficiency Natural Gas Hearth (Fireplace)_Zone 1_Natural Gas Hearth (Fireplace) - 70% FE Hearth</v>
      </c>
      <c r="C54" s="55" t="str">
        <f t="shared" si="0"/>
        <v>Fireplace_CZ1 - Single Family_Existing_Baseline (50% to 60% FE Rating)_Tier 1 (70% FE Rating)</v>
      </c>
      <c r="D54" s="56">
        <v>51</v>
      </c>
      <c r="E54" s="56" t="s">
        <v>116</v>
      </c>
      <c r="F54" s="57" t="s">
        <v>54</v>
      </c>
      <c r="G54" s="57" t="s">
        <v>21</v>
      </c>
      <c r="H54" s="57" t="s">
        <v>55</v>
      </c>
      <c r="I54" s="57" t="s">
        <v>168</v>
      </c>
      <c r="J54" s="57" t="s">
        <v>118</v>
      </c>
      <c r="K54" s="57" t="s">
        <v>119</v>
      </c>
      <c r="L54" s="57" t="s">
        <v>169</v>
      </c>
      <c r="M54" s="57" t="s">
        <v>170</v>
      </c>
      <c r="N54" s="58">
        <v>56</v>
      </c>
      <c r="O54" s="59">
        <v>425</v>
      </c>
      <c r="P54" s="58">
        <v>20</v>
      </c>
      <c r="Q54" s="59">
        <v>250</v>
      </c>
      <c r="R54" s="60">
        <v>27.245883386285314</v>
      </c>
      <c r="S54" s="60" t="s">
        <v>184</v>
      </c>
      <c r="T54" s="61">
        <v>256.39</v>
      </c>
      <c r="U54" s="56">
        <v>20</v>
      </c>
      <c r="V54" s="61">
        <v>99.999984048467596</v>
      </c>
    </row>
    <row r="55" spans="2:24" ht="26.25" thickBot="1" x14ac:dyDescent="0.3">
      <c r="B55" s="55" t="str">
        <f t="shared" si="1"/>
        <v>High-Efficiency Natural Gas Hearth (Fireplace)_Zone 1_High-Efficiency Natural Gas Fireplace</v>
      </c>
      <c r="C55" s="55" t="str">
        <f t="shared" si="0"/>
        <v>Fireplace_CZ1 - Single Family_Existing_Baseline (50% to 60% FE Rating)_Tier 1 (70% FE Rating)</v>
      </c>
      <c r="D55" s="62">
        <v>52</v>
      </c>
      <c r="E55" s="62" t="s">
        <v>116</v>
      </c>
      <c r="F55" s="63" t="s">
        <v>54</v>
      </c>
      <c r="G55" s="63" t="s">
        <v>21</v>
      </c>
      <c r="H55" s="63" t="s">
        <v>56</v>
      </c>
      <c r="I55" s="64" t="s">
        <v>168</v>
      </c>
      <c r="J55" s="64" t="s">
        <v>118</v>
      </c>
      <c r="K55" s="64" t="s">
        <v>119</v>
      </c>
      <c r="L55" s="64" t="s">
        <v>169</v>
      </c>
      <c r="M55" s="64" t="s">
        <v>170</v>
      </c>
      <c r="N55" s="62">
        <v>56</v>
      </c>
      <c r="O55" s="65">
        <v>425</v>
      </c>
      <c r="P55" s="62">
        <v>20</v>
      </c>
      <c r="Q55" s="65">
        <v>300</v>
      </c>
      <c r="R55" s="66">
        <v>27.245883386285314</v>
      </c>
      <c r="S55" s="66" t="s">
        <v>184</v>
      </c>
      <c r="T55" s="67">
        <v>256.39</v>
      </c>
      <c r="U55" s="68">
        <v>20</v>
      </c>
      <c r="V55" s="67">
        <v>99.999984048467596</v>
      </c>
    </row>
    <row r="56" spans="2:24" ht="26.25" thickBot="1" x14ac:dyDescent="0.3">
      <c r="B56" s="55" t="str">
        <f t="shared" si="1"/>
        <v>High-Efficiency Natural Gas Hearth (Fireplace)_Zone 2_High-Efficiency Natural Gas Fireplace</v>
      </c>
      <c r="C56" s="55" t="str">
        <f t="shared" si="0"/>
        <v>Fireplace_CZ2 - Single Family_Existing_Baseline (50% to 60% FE Rating)_Tier 1 (70% FE Rating)</v>
      </c>
      <c r="D56" s="56">
        <v>53</v>
      </c>
      <c r="E56" s="56" t="s">
        <v>116</v>
      </c>
      <c r="F56" s="57" t="s">
        <v>54</v>
      </c>
      <c r="G56" s="57" t="s">
        <v>23</v>
      </c>
      <c r="H56" s="57" t="s">
        <v>56</v>
      </c>
      <c r="I56" s="57" t="s">
        <v>168</v>
      </c>
      <c r="J56" s="57" t="s">
        <v>123</v>
      </c>
      <c r="K56" s="57" t="s">
        <v>119</v>
      </c>
      <c r="L56" s="57" t="s">
        <v>169</v>
      </c>
      <c r="M56" s="57" t="s">
        <v>170</v>
      </c>
      <c r="N56" s="58">
        <v>56</v>
      </c>
      <c r="O56" s="59">
        <v>425</v>
      </c>
      <c r="P56" s="58">
        <v>20</v>
      </c>
      <c r="Q56" s="59">
        <v>300</v>
      </c>
      <c r="R56" s="60">
        <v>27.245883386285314</v>
      </c>
      <c r="S56" s="60" t="s">
        <v>184</v>
      </c>
      <c r="T56" s="61">
        <v>256.39</v>
      </c>
      <c r="U56" s="56">
        <v>20</v>
      </c>
      <c r="V56" s="61">
        <v>99.999984048467596</v>
      </c>
    </row>
    <row r="57" spans="2:24" ht="26.25" thickBot="1" x14ac:dyDescent="0.3">
      <c r="B57" s="55" t="str">
        <f t="shared" si="1"/>
        <v>High-Efficiency Natural Gas Hearth (Fireplace)_Zone 3_High-Efficiency Natural Gas Fireplace</v>
      </c>
      <c r="C57" s="55" t="str">
        <f t="shared" si="0"/>
        <v>Fireplace_CZ3 - Single Family_Existing_Baseline (50% to 60% FE Rating)_Tier 1 (70% FE Rating)</v>
      </c>
      <c r="D57" s="62">
        <v>54</v>
      </c>
      <c r="E57" s="62" t="s">
        <v>116</v>
      </c>
      <c r="F57" s="63" t="s">
        <v>54</v>
      </c>
      <c r="G57" s="63" t="s">
        <v>24</v>
      </c>
      <c r="H57" s="63" t="s">
        <v>56</v>
      </c>
      <c r="I57" s="64" t="s">
        <v>168</v>
      </c>
      <c r="J57" s="64" t="s">
        <v>124</v>
      </c>
      <c r="K57" s="64" t="s">
        <v>119</v>
      </c>
      <c r="L57" s="64" t="s">
        <v>169</v>
      </c>
      <c r="M57" s="64" t="s">
        <v>170</v>
      </c>
      <c r="N57" s="62">
        <v>57</v>
      </c>
      <c r="O57" s="65">
        <v>425</v>
      </c>
      <c r="P57" s="62">
        <v>20</v>
      </c>
      <c r="Q57" s="65">
        <v>300</v>
      </c>
      <c r="R57" s="66">
        <v>27.245883386285314</v>
      </c>
      <c r="S57" s="66" t="s">
        <v>184</v>
      </c>
      <c r="T57" s="67">
        <v>256.39</v>
      </c>
      <c r="U57" s="68">
        <v>20</v>
      </c>
      <c r="V57" s="67">
        <v>99.999984048467596</v>
      </c>
    </row>
    <row r="58" spans="2:24" ht="15.75" thickBot="1" x14ac:dyDescent="0.3">
      <c r="B58" s="55" t="str">
        <f t="shared" si="1"/>
        <v>Programmable Thermostat_Zone 1_Programmable</v>
      </c>
      <c r="C58" s="55" t="str">
        <f t="shared" si="0"/>
        <v>Thermostat - Programmable_CZ1 - Single Family_Existing_Manual/no control_Programmed thermostat</v>
      </c>
      <c r="D58" s="56">
        <v>55</v>
      </c>
      <c r="E58" s="56" t="s">
        <v>116</v>
      </c>
      <c r="F58" s="57" t="s">
        <v>57</v>
      </c>
      <c r="G58" s="57" t="s">
        <v>21</v>
      </c>
      <c r="H58" s="57" t="s">
        <v>58</v>
      </c>
      <c r="I58" s="57" t="s">
        <v>171</v>
      </c>
      <c r="J58" s="57" t="s">
        <v>118</v>
      </c>
      <c r="K58" s="57" t="s">
        <v>119</v>
      </c>
      <c r="L58" s="57" t="s">
        <v>172</v>
      </c>
      <c r="M58" s="57" t="s">
        <v>173</v>
      </c>
      <c r="N58" s="58">
        <v>18</v>
      </c>
      <c r="O58" s="59">
        <v>16</v>
      </c>
      <c r="P58" s="58">
        <v>10</v>
      </c>
      <c r="Q58" s="59">
        <v>25</v>
      </c>
      <c r="R58" s="60">
        <v>28.497254076415988</v>
      </c>
      <c r="S58" s="60" t="s">
        <v>153</v>
      </c>
      <c r="T58" s="61">
        <v>64.34</v>
      </c>
      <c r="U58" s="56">
        <v>15</v>
      </c>
      <c r="V58" s="61">
        <v>24.999998262314779</v>
      </c>
    </row>
    <row r="59" spans="2:24" ht="15.75" thickBot="1" x14ac:dyDescent="0.3">
      <c r="B59" s="55" t="str">
        <f t="shared" si="1"/>
        <v>Programmable Thermostat_Zone 1_Programmable</v>
      </c>
      <c r="C59" s="55" t="str">
        <f t="shared" si="0"/>
        <v>Thermostat - Programmable_CZ1 - Single Family_Existing_Manual/no control_Programmed thermostat</v>
      </c>
      <c r="D59" s="62">
        <v>56</v>
      </c>
      <c r="E59" s="62" t="s">
        <v>116</v>
      </c>
      <c r="F59" s="63" t="s">
        <v>57</v>
      </c>
      <c r="G59" s="63" t="s">
        <v>21</v>
      </c>
      <c r="H59" s="63" t="s">
        <v>58</v>
      </c>
      <c r="I59" s="64" t="s">
        <v>171</v>
      </c>
      <c r="J59" s="64" t="s">
        <v>118</v>
      </c>
      <c r="K59" s="64" t="s">
        <v>119</v>
      </c>
      <c r="L59" s="64" t="s">
        <v>172</v>
      </c>
      <c r="M59" s="64" t="s">
        <v>173</v>
      </c>
      <c r="N59" s="62">
        <v>18</v>
      </c>
      <c r="O59" s="65">
        <v>16</v>
      </c>
      <c r="P59" s="62">
        <v>10</v>
      </c>
      <c r="Q59" s="65">
        <v>25</v>
      </c>
      <c r="R59" s="66">
        <v>28.497254076415988</v>
      </c>
      <c r="S59" s="66" t="s">
        <v>153</v>
      </c>
      <c r="T59" s="67">
        <v>64.34</v>
      </c>
      <c r="U59" s="68">
        <v>15</v>
      </c>
      <c r="V59" s="67">
        <v>24.999998262314779</v>
      </c>
    </row>
    <row r="60" spans="2:24" ht="15.75" thickBot="1" x14ac:dyDescent="0.3">
      <c r="B60" s="55" t="str">
        <f t="shared" si="1"/>
        <v>Programmable Thermostat_Zone 2_Programmable</v>
      </c>
      <c r="C60" s="55" t="str">
        <f t="shared" si="0"/>
        <v>Thermostat - Programmable_CZ2 - Single Family_Existing_Manual/no control_Programmed thermostat</v>
      </c>
      <c r="D60" s="56">
        <v>57</v>
      </c>
      <c r="E60" s="56" t="s">
        <v>116</v>
      </c>
      <c r="F60" s="57" t="s">
        <v>57</v>
      </c>
      <c r="G60" s="57" t="s">
        <v>23</v>
      </c>
      <c r="H60" s="57" t="s">
        <v>58</v>
      </c>
      <c r="I60" s="57" t="s">
        <v>171</v>
      </c>
      <c r="J60" s="57" t="s">
        <v>123</v>
      </c>
      <c r="K60" s="57" t="s">
        <v>119</v>
      </c>
      <c r="L60" s="57" t="s">
        <v>172</v>
      </c>
      <c r="M60" s="57" t="s">
        <v>173</v>
      </c>
      <c r="N60" s="58">
        <v>17</v>
      </c>
      <c r="O60" s="59">
        <v>16</v>
      </c>
      <c r="P60" s="58">
        <v>10</v>
      </c>
      <c r="Q60" s="59">
        <v>25</v>
      </c>
      <c r="R60" s="60">
        <v>28.754950259934116</v>
      </c>
      <c r="S60" s="60" t="s">
        <v>153</v>
      </c>
      <c r="T60" s="61">
        <v>64.34</v>
      </c>
      <c r="U60" s="56">
        <v>15</v>
      </c>
      <c r="V60" s="61">
        <v>24.999998262314779</v>
      </c>
    </row>
    <row r="61" spans="2:24" ht="15.75" thickBot="1" x14ac:dyDescent="0.3">
      <c r="B61" s="55" t="str">
        <f t="shared" si="1"/>
        <v>Programmable Thermostat_Zone 2_Programmable</v>
      </c>
      <c r="C61" s="55" t="str">
        <f t="shared" si="0"/>
        <v>Thermostat - Programmable_CZ2 - Single Family_Existing_Manual/no control_Programmed thermostat</v>
      </c>
      <c r="D61" s="62">
        <v>58</v>
      </c>
      <c r="E61" s="62" t="s">
        <v>116</v>
      </c>
      <c r="F61" s="63" t="s">
        <v>57</v>
      </c>
      <c r="G61" s="63" t="s">
        <v>23</v>
      </c>
      <c r="H61" s="63" t="s">
        <v>58</v>
      </c>
      <c r="I61" s="64" t="s">
        <v>171</v>
      </c>
      <c r="J61" s="64" t="s">
        <v>123</v>
      </c>
      <c r="K61" s="64" t="s">
        <v>119</v>
      </c>
      <c r="L61" s="64" t="s">
        <v>172</v>
      </c>
      <c r="M61" s="64" t="s">
        <v>173</v>
      </c>
      <c r="N61" s="62">
        <v>17</v>
      </c>
      <c r="O61" s="65">
        <v>16</v>
      </c>
      <c r="P61" s="62">
        <v>10</v>
      </c>
      <c r="Q61" s="65">
        <v>25</v>
      </c>
      <c r="R61" s="66">
        <v>28.754950259934116</v>
      </c>
      <c r="S61" s="66" t="s">
        <v>153</v>
      </c>
      <c r="T61" s="67">
        <v>64.34</v>
      </c>
      <c r="U61" s="68">
        <v>15</v>
      </c>
      <c r="V61" s="67">
        <v>24.999998262314779</v>
      </c>
    </row>
    <row r="62" spans="2:24" ht="15.75" thickBot="1" x14ac:dyDescent="0.3">
      <c r="B62" s="55" t="str">
        <f t="shared" si="1"/>
        <v>Programmable Thermostat_Zone 3_Programmable</v>
      </c>
      <c r="C62" s="55" t="str">
        <f t="shared" si="0"/>
        <v>Thermostat - Programmable_CZ3 - Single Family_Existing_Manual/no control_Programmed thermostat</v>
      </c>
      <c r="D62" s="56">
        <v>59</v>
      </c>
      <c r="E62" s="56" t="s">
        <v>116</v>
      </c>
      <c r="F62" s="57" t="s">
        <v>57</v>
      </c>
      <c r="G62" s="57" t="s">
        <v>24</v>
      </c>
      <c r="H62" s="57" t="s">
        <v>58</v>
      </c>
      <c r="I62" s="57" t="s">
        <v>171</v>
      </c>
      <c r="J62" s="57" t="s">
        <v>124</v>
      </c>
      <c r="K62" s="57" t="s">
        <v>119</v>
      </c>
      <c r="L62" s="57" t="s">
        <v>172</v>
      </c>
      <c r="M62" s="57" t="s">
        <v>173</v>
      </c>
      <c r="N62" s="58">
        <v>20</v>
      </c>
      <c r="O62" s="59">
        <v>16</v>
      </c>
      <c r="P62" s="58">
        <v>10</v>
      </c>
      <c r="Q62" s="59">
        <v>25</v>
      </c>
      <c r="R62" s="60">
        <v>25.304168255272938</v>
      </c>
      <c r="S62" s="60" t="s">
        <v>153</v>
      </c>
      <c r="T62" s="61">
        <v>64.34</v>
      </c>
      <c r="U62" s="56">
        <v>15</v>
      </c>
      <c r="V62" s="61">
        <v>24.999998262314779</v>
      </c>
    </row>
    <row r="63" spans="2:24" ht="15.75" thickBot="1" x14ac:dyDescent="0.3">
      <c r="B63" s="55" t="str">
        <f t="shared" si="1"/>
        <v>Programmable Thermostat_Zone 3_Programmable</v>
      </c>
      <c r="C63" s="55" t="str">
        <f t="shared" si="0"/>
        <v>Thermostat - Programmable_CZ3 - Single Family_Existing_Manual/no control_Programmed thermostat</v>
      </c>
      <c r="D63" s="62">
        <v>60</v>
      </c>
      <c r="E63" s="62" t="s">
        <v>116</v>
      </c>
      <c r="F63" s="63" t="s">
        <v>57</v>
      </c>
      <c r="G63" s="63" t="s">
        <v>24</v>
      </c>
      <c r="H63" s="63" t="s">
        <v>58</v>
      </c>
      <c r="I63" s="64" t="s">
        <v>171</v>
      </c>
      <c r="J63" s="64" t="s">
        <v>124</v>
      </c>
      <c r="K63" s="64" t="s">
        <v>119</v>
      </c>
      <c r="L63" s="64" t="s">
        <v>172</v>
      </c>
      <c r="M63" s="64" t="s">
        <v>173</v>
      </c>
      <c r="N63" s="62">
        <v>20</v>
      </c>
      <c r="O63" s="65">
        <v>16</v>
      </c>
      <c r="P63" s="62">
        <v>10</v>
      </c>
      <c r="Q63" s="65">
        <v>25</v>
      </c>
      <c r="R63" s="66">
        <v>25.304168255272938</v>
      </c>
      <c r="S63" s="66" t="s">
        <v>153</v>
      </c>
      <c r="T63" s="67">
        <v>64.34</v>
      </c>
      <c r="U63" s="68">
        <v>15</v>
      </c>
      <c r="V63" s="67">
        <v>24.999998262314779</v>
      </c>
    </row>
    <row r="64" spans="2:24" ht="15.75" thickBot="1" x14ac:dyDescent="0.3">
      <c r="B64" s="55" t="str">
        <f t="shared" si="1"/>
        <v>Wall Insulation_Zone 1_Post R-11+, or to fill cavity</v>
      </c>
      <c r="C64" s="55" t="str">
        <f t="shared" si="0"/>
        <v>Insulation - Wall Cavity, Installation_CZ1 - Single Family_Existing_R-0_R-11</v>
      </c>
      <c r="D64" s="56">
        <v>61</v>
      </c>
      <c r="E64" s="56" t="s">
        <v>116</v>
      </c>
      <c r="F64" s="57" t="s">
        <v>59</v>
      </c>
      <c r="G64" s="57" t="s">
        <v>21</v>
      </c>
      <c r="H64" s="57" t="s">
        <v>60</v>
      </c>
      <c r="I64" s="57" t="s">
        <v>174</v>
      </c>
      <c r="J64" s="57" t="s">
        <v>118</v>
      </c>
      <c r="K64" s="57" t="s">
        <v>119</v>
      </c>
      <c r="L64" s="57" t="s">
        <v>133</v>
      </c>
      <c r="M64" s="57" t="s">
        <v>175</v>
      </c>
      <c r="N64" s="58">
        <v>7.0999999999999994E-2</v>
      </c>
      <c r="O64" s="59">
        <v>1.18</v>
      </c>
      <c r="P64" s="58">
        <v>45</v>
      </c>
      <c r="Q64" s="59">
        <v>0.75</v>
      </c>
      <c r="R64" s="60">
        <v>6.6857047222845786E-2</v>
      </c>
      <c r="S64" s="60" t="s">
        <v>190</v>
      </c>
      <c r="T64" s="61">
        <v>1.7299999999999998</v>
      </c>
      <c r="U64" s="56">
        <v>45</v>
      </c>
      <c r="V64" s="61">
        <v>0.75000093778904475</v>
      </c>
    </row>
    <row r="65" spans="2:24" ht="15.75" thickBot="1" x14ac:dyDescent="0.3">
      <c r="B65" s="55" t="str">
        <f t="shared" si="1"/>
        <v>Wall Insulation_Zone 2_Post R-11+, or to fill cavity</v>
      </c>
      <c r="C65" s="55" t="str">
        <f t="shared" si="0"/>
        <v>Insulation - Wall Cavity, Installation_CZ2 - Single Family_Existing_R-0_R-11</v>
      </c>
      <c r="D65" s="62">
        <v>62</v>
      </c>
      <c r="E65" s="62" t="s">
        <v>116</v>
      </c>
      <c r="F65" s="63" t="s">
        <v>59</v>
      </c>
      <c r="G65" s="63" t="s">
        <v>23</v>
      </c>
      <c r="H65" s="63" t="s">
        <v>60</v>
      </c>
      <c r="I65" s="64" t="s">
        <v>174</v>
      </c>
      <c r="J65" s="64" t="s">
        <v>123</v>
      </c>
      <c r="K65" s="64" t="s">
        <v>119</v>
      </c>
      <c r="L65" s="64" t="s">
        <v>133</v>
      </c>
      <c r="M65" s="64" t="s">
        <v>175</v>
      </c>
      <c r="N65" s="62">
        <v>6.5000000000000002E-2</v>
      </c>
      <c r="O65" s="65">
        <v>1.18</v>
      </c>
      <c r="P65" s="62">
        <v>45</v>
      </c>
      <c r="Q65" s="65">
        <v>0.75</v>
      </c>
      <c r="R65" s="66">
        <v>7.4219681182031302E-2</v>
      </c>
      <c r="S65" s="66" t="s">
        <v>190</v>
      </c>
      <c r="T65" s="67">
        <v>1.7299999999999998</v>
      </c>
      <c r="U65" s="68">
        <v>45</v>
      </c>
      <c r="V65" s="67">
        <v>0.75000093778904475</v>
      </c>
    </row>
    <row r="66" spans="2:24" ht="15.75" thickBot="1" x14ac:dyDescent="0.3">
      <c r="B66" s="55" t="str">
        <f t="shared" si="1"/>
        <v>Wall Insulation_Zone 3_Post R-11+, or to fill cavity</v>
      </c>
      <c r="C66" s="55" t="str">
        <f t="shared" si="0"/>
        <v>Insulation - Wall Cavity, Installation_CZ3 - Single Family_Existing_R-0_R-11</v>
      </c>
      <c r="D66" s="56">
        <v>63</v>
      </c>
      <c r="E66" s="56" t="s">
        <v>116</v>
      </c>
      <c r="F66" s="57" t="s">
        <v>59</v>
      </c>
      <c r="G66" s="57" t="s">
        <v>24</v>
      </c>
      <c r="H66" s="57" t="s">
        <v>60</v>
      </c>
      <c r="I66" s="57" t="s">
        <v>174</v>
      </c>
      <c r="J66" s="57" t="s">
        <v>124</v>
      </c>
      <c r="K66" s="57" t="s">
        <v>119</v>
      </c>
      <c r="L66" s="57" t="s">
        <v>133</v>
      </c>
      <c r="M66" s="57" t="s">
        <v>175</v>
      </c>
      <c r="N66" s="58">
        <v>7.5999999999999998E-2</v>
      </c>
      <c r="O66" s="59">
        <v>1.18</v>
      </c>
      <c r="P66" s="58">
        <v>45</v>
      </c>
      <c r="Q66" s="59">
        <v>0.75</v>
      </c>
      <c r="R66" s="60">
        <v>7.4219681182031302E-2</v>
      </c>
      <c r="S66" s="60" t="s">
        <v>190</v>
      </c>
      <c r="T66" s="61">
        <v>1.7299999999999998</v>
      </c>
      <c r="U66" s="56">
        <v>45</v>
      </c>
      <c r="V66" s="61">
        <v>0.75000093778904464</v>
      </c>
    </row>
    <row r="67" spans="2:24" ht="15.75" thickBot="1" x14ac:dyDescent="0.3">
      <c r="B67" s="55" t="str">
        <f t="shared" si="1"/>
        <v>Whole House Residential Air Sealing_Zone 1_Min. 400 CFM50 reduction</v>
      </c>
      <c r="C67" s="55" t="str">
        <f t="shared" si="0"/>
        <v>Insulation - Infiltration Control (Air Sealing)_CZ1 - Single Family_Existing_ACH50 &gt;= 5_20% reduction in ACH50</v>
      </c>
      <c r="D67" s="62">
        <v>64</v>
      </c>
      <c r="E67" s="62" t="s">
        <v>116</v>
      </c>
      <c r="F67" s="63" t="s">
        <v>61</v>
      </c>
      <c r="G67" s="63" t="s">
        <v>21</v>
      </c>
      <c r="H67" s="63" t="s">
        <v>62</v>
      </c>
      <c r="I67" s="64" t="s">
        <v>230</v>
      </c>
      <c r="J67" s="64" t="s">
        <v>118</v>
      </c>
      <c r="K67" s="64" t="s">
        <v>119</v>
      </c>
      <c r="L67" s="64" t="s">
        <v>176</v>
      </c>
      <c r="M67" s="64" t="s">
        <v>177</v>
      </c>
      <c r="N67" s="62">
        <v>75</v>
      </c>
      <c r="O67" s="65">
        <v>750</v>
      </c>
      <c r="P67" s="62">
        <v>13</v>
      </c>
      <c r="Q67" s="65">
        <v>150</v>
      </c>
      <c r="R67" s="66">
        <v>26.912689862127035</v>
      </c>
      <c r="S67" s="66" t="s">
        <v>178</v>
      </c>
      <c r="T67" s="67">
        <v>1537.6415007297105</v>
      </c>
      <c r="U67" s="68">
        <v>15</v>
      </c>
      <c r="V67" s="67">
        <v>100.00699121585335</v>
      </c>
      <c r="W67" t="s">
        <v>179</v>
      </c>
    </row>
    <row r="68" spans="2:24" ht="15.75" thickBot="1" x14ac:dyDescent="0.3">
      <c r="B68" s="55" t="str">
        <f t="shared" si="1"/>
        <v>Windows_Zone 1_U Factor 0.30</v>
      </c>
      <c r="C68" s="55" t="str">
        <f t="shared" ref="C68:C74" si="2">I68&amp;"_"&amp;J68&amp;"_"&amp;K68&amp;"_"&amp;L68&amp;"_"&amp;M68</f>
        <v>Windows - U-.30_CZ1 - Single Family_Existing_Existing inefficient Window_Double Pane LowE U30</v>
      </c>
      <c r="D68" s="56">
        <v>65</v>
      </c>
      <c r="E68" s="56" t="s">
        <v>116</v>
      </c>
      <c r="F68" s="57" t="s">
        <v>63</v>
      </c>
      <c r="G68" s="57" t="s">
        <v>21</v>
      </c>
      <c r="H68" s="57" t="s">
        <v>304</v>
      </c>
      <c r="I68" s="57" t="s">
        <v>180</v>
      </c>
      <c r="J68" s="57" t="s">
        <v>118</v>
      </c>
      <c r="K68" s="57" t="s">
        <v>119</v>
      </c>
      <c r="L68" s="57" t="s">
        <v>181</v>
      </c>
      <c r="M68" s="57" t="s">
        <v>182</v>
      </c>
      <c r="N68" s="58">
        <v>0.63</v>
      </c>
      <c r="O68" s="59">
        <v>23.09</v>
      </c>
      <c r="P68" s="58">
        <v>45</v>
      </c>
      <c r="Q68" s="59">
        <v>5</v>
      </c>
      <c r="R68" s="60">
        <f>0.218622252703023</f>
        <v>0.21862225270302299</v>
      </c>
      <c r="S68" s="60" t="s">
        <v>191</v>
      </c>
      <c r="T68" s="61">
        <v>25.070000000000004</v>
      </c>
      <c r="U68" s="56">
        <v>45</v>
      </c>
      <c r="V68" s="61">
        <v>1.9999994455237615</v>
      </c>
      <c r="W68" t="s">
        <v>183</v>
      </c>
      <c r="X68" t="s">
        <v>195</v>
      </c>
    </row>
    <row r="69" spans="2:24" ht="15.75" thickBot="1" x14ac:dyDescent="0.3">
      <c r="B69" s="55" t="str">
        <f t="shared" ref="B69:B74" si="3">F69&amp;"_"&amp;G69&amp;"_"&amp;H69</f>
        <v>Windows_Zone 2_U Factor 0.30</v>
      </c>
      <c r="C69" s="55" t="str">
        <f t="shared" si="2"/>
        <v>Windows - U-.30_CZ2 - Single Family_Existing_Existing inefficient Window_Double Pane LowE U30</v>
      </c>
      <c r="D69" s="62">
        <v>66</v>
      </c>
      <c r="E69" s="62" t="s">
        <v>116</v>
      </c>
      <c r="F69" s="63" t="s">
        <v>63</v>
      </c>
      <c r="G69" s="63" t="s">
        <v>23</v>
      </c>
      <c r="H69" s="63" t="s">
        <v>304</v>
      </c>
      <c r="I69" s="64" t="s">
        <v>180</v>
      </c>
      <c r="J69" s="64" t="s">
        <v>123</v>
      </c>
      <c r="K69" s="64" t="s">
        <v>119</v>
      </c>
      <c r="L69" s="64" t="s">
        <v>181</v>
      </c>
      <c r="M69" s="64" t="s">
        <v>182</v>
      </c>
      <c r="N69" s="62">
        <v>0.63</v>
      </c>
      <c r="O69" s="65">
        <v>23.09</v>
      </c>
      <c r="P69" s="62">
        <v>45</v>
      </c>
      <c r="Q69" s="65">
        <v>5</v>
      </c>
      <c r="R69" s="66">
        <f>0.289176370203198</f>
        <v>0.28917637020319797</v>
      </c>
      <c r="S69" s="66" t="s">
        <v>191</v>
      </c>
      <c r="T69" s="67">
        <v>25.070000000000004</v>
      </c>
      <c r="U69" s="68">
        <v>45</v>
      </c>
      <c r="V69" s="67">
        <v>1.9999994455237615</v>
      </c>
      <c r="W69" t="s">
        <v>183</v>
      </c>
      <c r="X69" t="s">
        <v>195</v>
      </c>
    </row>
    <row r="70" spans="2:24" ht="15.75" thickBot="1" x14ac:dyDescent="0.3">
      <c r="B70" s="55" t="str">
        <f t="shared" si="3"/>
        <v>Windows_Zone 3_U Factor 0.30</v>
      </c>
      <c r="C70" s="55" t="str">
        <f t="shared" si="2"/>
        <v>Windows - U-.30_CZ3 - Single Family_Existing_Existing inefficient Window_Double Pane LowE U30</v>
      </c>
      <c r="D70" s="56">
        <v>67</v>
      </c>
      <c r="E70" s="56" t="s">
        <v>116</v>
      </c>
      <c r="F70" s="57" t="s">
        <v>63</v>
      </c>
      <c r="G70" s="57" t="s">
        <v>24</v>
      </c>
      <c r="H70" s="57" t="s">
        <v>304</v>
      </c>
      <c r="I70" s="57" t="s">
        <v>180</v>
      </c>
      <c r="J70" s="57" t="s">
        <v>124</v>
      </c>
      <c r="K70" s="57" t="s">
        <v>119</v>
      </c>
      <c r="L70" s="57" t="s">
        <v>181</v>
      </c>
      <c r="M70" s="57" t="s">
        <v>182</v>
      </c>
      <c r="N70" s="58">
        <v>0.63</v>
      </c>
      <c r="O70" s="59">
        <v>23.09</v>
      </c>
      <c r="P70" s="58">
        <v>45</v>
      </c>
      <c r="Q70" s="59">
        <v>5</v>
      </c>
      <c r="R70" s="60">
        <f>0.289176370203198</f>
        <v>0.28917637020319797</v>
      </c>
      <c r="S70" s="60" t="s">
        <v>191</v>
      </c>
      <c r="T70" s="61">
        <v>25.070000000000004</v>
      </c>
      <c r="U70" s="56">
        <v>45</v>
      </c>
      <c r="V70" s="61">
        <v>1.9999994455237615</v>
      </c>
      <c r="W70" t="s">
        <v>183</v>
      </c>
      <c r="X70" t="s">
        <v>195</v>
      </c>
    </row>
    <row r="71" spans="2:24" ht="15.75" thickBot="1" x14ac:dyDescent="0.3">
      <c r="B71" s="55" t="str">
        <f t="shared" si="3"/>
        <v>Bundle A_Zone 1_</v>
      </c>
      <c r="C71" s="55" t="str">
        <f t="shared" si="2"/>
        <v>N/A_N/A_N/A_N/A_N/A</v>
      </c>
      <c r="D71" s="62">
        <v>68</v>
      </c>
      <c r="E71" s="62" t="s">
        <v>116</v>
      </c>
      <c r="F71" s="63" t="s">
        <v>29</v>
      </c>
      <c r="G71" s="63" t="s">
        <v>21</v>
      </c>
      <c r="H71" s="63"/>
      <c r="I71" s="64" t="s">
        <v>125</v>
      </c>
      <c r="J71" s="64" t="s">
        <v>125</v>
      </c>
      <c r="K71" s="64" t="s">
        <v>125</v>
      </c>
      <c r="L71" s="64" t="s">
        <v>125</v>
      </c>
      <c r="M71" s="64" t="s">
        <v>125</v>
      </c>
      <c r="N71" s="62">
        <v>0</v>
      </c>
      <c r="O71" s="65">
        <v>0</v>
      </c>
      <c r="P71" s="62">
        <v>0</v>
      </c>
      <c r="Q71" s="65">
        <v>250</v>
      </c>
      <c r="R71" s="66" t="s">
        <v>125</v>
      </c>
      <c r="S71" s="66" t="s">
        <v>125</v>
      </c>
      <c r="T71" s="67" t="s">
        <v>125</v>
      </c>
      <c r="U71" s="68" t="s">
        <v>125</v>
      </c>
      <c r="V71" s="67" t="s">
        <v>125</v>
      </c>
    </row>
    <row r="72" spans="2:24" ht="15.75" thickBot="1" x14ac:dyDescent="0.3">
      <c r="B72" s="55" t="str">
        <f t="shared" si="3"/>
        <v>Bundle A_Zone 2_</v>
      </c>
      <c r="C72" s="55" t="str">
        <f t="shared" si="2"/>
        <v>N/A_N/A_N/A_N/A_N/A</v>
      </c>
      <c r="D72" s="56">
        <v>69</v>
      </c>
      <c r="E72" s="56" t="s">
        <v>116</v>
      </c>
      <c r="F72" s="57" t="s">
        <v>29</v>
      </c>
      <c r="G72" s="57" t="s">
        <v>23</v>
      </c>
      <c r="H72" s="57"/>
      <c r="I72" s="57" t="s">
        <v>125</v>
      </c>
      <c r="J72" s="57" t="s">
        <v>125</v>
      </c>
      <c r="K72" s="57" t="s">
        <v>125</v>
      </c>
      <c r="L72" s="57" t="s">
        <v>125</v>
      </c>
      <c r="M72" s="57" t="s">
        <v>125</v>
      </c>
      <c r="N72" s="58">
        <v>0</v>
      </c>
      <c r="O72" s="59">
        <v>0</v>
      </c>
      <c r="P72" s="58">
        <v>0</v>
      </c>
      <c r="Q72" s="59">
        <v>250</v>
      </c>
      <c r="R72" s="60" t="s">
        <v>125</v>
      </c>
      <c r="S72" s="60" t="s">
        <v>125</v>
      </c>
      <c r="T72" s="61" t="s">
        <v>125</v>
      </c>
      <c r="U72" s="56" t="s">
        <v>125</v>
      </c>
      <c r="V72" s="61" t="s">
        <v>125</v>
      </c>
    </row>
    <row r="73" spans="2:24" ht="15.75" thickBot="1" x14ac:dyDescent="0.3">
      <c r="B73" s="55" t="str">
        <f t="shared" si="3"/>
        <v>Bundle A_Zone 3_</v>
      </c>
      <c r="C73" s="55" t="str">
        <f t="shared" si="2"/>
        <v>N/A_N/A_N/A_N/A_N/A</v>
      </c>
      <c r="D73" s="62">
        <v>70</v>
      </c>
      <c r="E73" s="62" t="s">
        <v>116</v>
      </c>
      <c r="F73" s="63" t="s">
        <v>29</v>
      </c>
      <c r="G73" s="63" t="s">
        <v>24</v>
      </c>
      <c r="H73" s="63"/>
      <c r="I73" s="64" t="s">
        <v>125</v>
      </c>
      <c r="J73" s="64" t="s">
        <v>125</v>
      </c>
      <c r="K73" s="64" t="s">
        <v>125</v>
      </c>
      <c r="L73" s="64" t="s">
        <v>125</v>
      </c>
      <c r="M73" s="64" t="s">
        <v>125</v>
      </c>
      <c r="N73" s="62">
        <v>0</v>
      </c>
      <c r="O73" s="65">
        <v>0</v>
      </c>
      <c r="P73" s="62">
        <v>0</v>
      </c>
      <c r="Q73" s="65">
        <v>250</v>
      </c>
      <c r="R73" s="66" t="s">
        <v>125</v>
      </c>
      <c r="S73" s="66" t="s">
        <v>125</v>
      </c>
      <c r="T73" s="67" t="s">
        <v>125</v>
      </c>
      <c r="U73" s="68" t="s">
        <v>125</v>
      </c>
      <c r="V73" s="67" t="s">
        <v>125</v>
      </c>
    </row>
    <row r="74" spans="2:24" ht="15.75" thickBot="1" x14ac:dyDescent="0.3">
      <c r="B74" s="55" t="str">
        <f t="shared" si="3"/>
        <v>Bundle B_Zone 1_</v>
      </c>
      <c r="C74" s="55" t="str">
        <f t="shared" si="2"/>
        <v>N/A_N/A_N/A_N/A_N/A</v>
      </c>
      <c r="D74" s="56">
        <v>71</v>
      </c>
      <c r="E74" s="56" t="s">
        <v>116</v>
      </c>
      <c r="F74" s="57" t="s">
        <v>30</v>
      </c>
      <c r="G74" s="57" t="s">
        <v>21</v>
      </c>
      <c r="H74" s="57"/>
      <c r="I74" s="57" t="s">
        <v>125</v>
      </c>
      <c r="J74" s="57" t="s">
        <v>125</v>
      </c>
      <c r="K74" s="57" t="s">
        <v>125</v>
      </c>
      <c r="L74" s="57" t="s">
        <v>125</v>
      </c>
      <c r="M74" s="57" t="s">
        <v>125</v>
      </c>
      <c r="N74" s="58">
        <v>0</v>
      </c>
      <c r="O74" s="59">
        <v>0</v>
      </c>
      <c r="P74" s="58">
        <v>0</v>
      </c>
      <c r="Q74" s="59">
        <v>500</v>
      </c>
      <c r="R74" s="60" t="s">
        <v>125</v>
      </c>
      <c r="S74" s="60" t="s">
        <v>125</v>
      </c>
      <c r="T74" s="61" t="s">
        <v>125</v>
      </c>
      <c r="U74" s="56" t="s">
        <v>125</v>
      </c>
      <c r="V74" s="61" t="s">
        <v>125</v>
      </c>
    </row>
    <row r="75" spans="2:24" ht="26.25" thickBot="1" x14ac:dyDescent="0.3">
      <c r="B75" s="55" t="s">
        <v>214</v>
      </c>
      <c r="C75" s="55" t="s">
        <v>215</v>
      </c>
      <c r="D75" s="62">
        <v>72</v>
      </c>
      <c r="E75" s="62" t="s">
        <v>116</v>
      </c>
      <c r="F75" s="63" t="s">
        <v>206</v>
      </c>
      <c r="G75" s="63" t="s">
        <v>21</v>
      </c>
      <c r="H75" s="63" t="s">
        <v>207</v>
      </c>
      <c r="I75" s="64" t="s">
        <v>208</v>
      </c>
      <c r="J75" s="64" t="s">
        <v>118</v>
      </c>
      <c r="K75" s="64" t="s">
        <v>119</v>
      </c>
      <c r="L75" s="64" t="s">
        <v>172</v>
      </c>
      <c r="M75" s="64" t="s">
        <v>209</v>
      </c>
      <c r="N75" s="62" t="e">
        <v>#N/A</v>
      </c>
      <c r="O75" s="65" t="e">
        <v>#N/A</v>
      </c>
      <c r="P75" s="62" t="e">
        <v>#N/A</v>
      </c>
      <c r="Q75" s="65" t="e">
        <v>#N/A</v>
      </c>
      <c r="R75" s="66">
        <v>34.196704891699184</v>
      </c>
      <c r="S75" s="66" t="s">
        <v>153</v>
      </c>
      <c r="T75" s="67">
        <v>264.41000000000003</v>
      </c>
      <c r="U75" s="68">
        <v>5</v>
      </c>
      <c r="V75" s="67">
        <v>25.000000425691415</v>
      </c>
    </row>
    <row r="76" spans="2:24" ht="26.25" thickBot="1" x14ac:dyDescent="0.3">
      <c r="B76" s="55" t="s">
        <v>216</v>
      </c>
      <c r="C76" s="55" t="s">
        <v>217</v>
      </c>
      <c r="D76" s="56">
        <v>73</v>
      </c>
      <c r="E76" s="56" t="s">
        <v>116</v>
      </c>
      <c r="F76" s="57" t="s">
        <v>206</v>
      </c>
      <c r="G76" s="57" t="s">
        <v>23</v>
      </c>
      <c r="H76" s="57" t="s">
        <v>207</v>
      </c>
      <c r="I76" s="57" t="s">
        <v>208</v>
      </c>
      <c r="J76" s="57" t="s">
        <v>123</v>
      </c>
      <c r="K76" s="57" t="s">
        <v>119</v>
      </c>
      <c r="L76" s="57" t="s">
        <v>172</v>
      </c>
      <c r="M76" s="57" t="s">
        <v>209</v>
      </c>
      <c r="N76" s="58" t="e">
        <v>#N/A</v>
      </c>
      <c r="O76" s="59" t="e">
        <v>#N/A</v>
      </c>
      <c r="P76" s="58" t="e">
        <v>#N/A</v>
      </c>
      <c r="Q76" s="59" t="e">
        <v>#N/A</v>
      </c>
      <c r="R76" s="60">
        <v>34.505940311920931</v>
      </c>
      <c r="S76" s="60" t="s">
        <v>153</v>
      </c>
      <c r="T76" s="61">
        <v>264.41000000000003</v>
      </c>
      <c r="U76" s="56">
        <v>5</v>
      </c>
      <c r="V76" s="61">
        <v>25.000000425691415</v>
      </c>
    </row>
    <row r="77" spans="2:24" ht="26.25" thickBot="1" x14ac:dyDescent="0.3">
      <c r="B77" s="55" t="s">
        <v>218</v>
      </c>
      <c r="C77" s="55" t="s">
        <v>219</v>
      </c>
      <c r="D77" s="62">
        <v>74</v>
      </c>
      <c r="E77" s="62" t="s">
        <v>116</v>
      </c>
      <c r="F77" s="63" t="s">
        <v>206</v>
      </c>
      <c r="G77" s="63" t="s">
        <v>24</v>
      </c>
      <c r="H77" s="63" t="s">
        <v>207</v>
      </c>
      <c r="I77" s="64" t="s">
        <v>208</v>
      </c>
      <c r="J77" s="64" t="s">
        <v>124</v>
      </c>
      <c r="K77" s="64" t="s">
        <v>119</v>
      </c>
      <c r="L77" s="64" t="s">
        <v>172</v>
      </c>
      <c r="M77" s="64" t="s">
        <v>209</v>
      </c>
      <c r="N77" s="62" t="e">
        <v>#N/A</v>
      </c>
      <c r="O77" s="65" t="e">
        <v>#N/A</v>
      </c>
      <c r="P77" s="62" t="e">
        <v>#N/A</v>
      </c>
      <c r="Q77" s="65" t="e">
        <v>#N/A</v>
      </c>
      <c r="R77" s="66">
        <v>30.365001906327521</v>
      </c>
      <c r="S77" s="66" t="s">
        <v>153</v>
      </c>
      <c r="T77" s="67">
        <v>264.41000000000003</v>
      </c>
      <c r="U77" s="68">
        <v>5</v>
      </c>
      <c r="V77" s="67">
        <v>25.000000425691415</v>
      </c>
    </row>
    <row r="78" spans="2:24" ht="15.75" thickBot="1" x14ac:dyDescent="0.3">
      <c r="B78" s="55" t="s">
        <v>220</v>
      </c>
      <c r="C78" s="55" t="s">
        <v>221</v>
      </c>
      <c r="D78" s="56">
        <v>75</v>
      </c>
      <c r="E78" s="56" t="s">
        <v>116</v>
      </c>
      <c r="F78" s="57" t="s">
        <v>210</v>
      </c>
      <c r="G78" s="57" t="s">
        <v>21</v>
      </c>
      <c r="H78" s="57" t="s">
        <v>211</v>
      </c>
      <c r="I78" s="57" t="s">
        <v>211</v>
      </c>
      <c r="J78" s="57" t="s">
        <v>118</v>
      </c>
      <c r="K78" s="57" t="s">
        <v>119</v>
      </c>
      <c r="L78" s="57" t="s">
        <v>212</v>
      </c>
      <c r="M78" s="57" t="s">
        <v>213</v>
      </c>
      <c r="N78" s="58" t="e">
        <v>#N/A</v>
      </c>
      <c r="O78" s="59" t="e">
        <v>#N/A</v>
      </c>
      <c r="P78" s="58" t="e">
        <v>#N/A</v>
      </c>
      <c r="Q78" s="59" t="e">
        <v>#N/A</v>
      </c>
      <c r="R78" s="60">
        <v>7.7287600317558018</v>
      </c>
      <c r="S78" s="60" t="s">
        <v>153</v>
      </c>
      <c r="T78" s="61">
        <v>61.41</v>
      </c>
      <c r="U78" s="56">
        <v>14.199999999999998</v>
      </c>
      <c r="V78" s="61">
        <v>36.84402</v>
      </c>
    </row>
    <row r="79" spans="2:24" ht="15.75" thickBot="1" x14ac:dyDescent="0.3">
      <c r="B79" s="55" t="s">
        <v>222</v>
      </c>
      <c r="C79" s="55" t="s">
        <v>223</v>
      </c>
      <c r="D79" s="62">
        <v>76</v>
      </c>
      <c r="E79" s="62" t="s">
        <v>116</v>
      </c>
      <c r="F79" s="63" t="s">
        <v>210</v>
      </c>
      <c r="G79" s="63" t="s">
        <v>23</v>
      </c>
      <c r="H79" s="63" t="s">
        <v>211</v>
      </c>
      <c r="I79" s="64" t="s">
        <v>211</v>
      </c>
      <c r="J79" s="64" t="s">
        <v>123</v>
      </c>
      <c r="K79" s="64" t="s">
        <v>119</v>
      </c>
      <c r="L79" s="64" t="s">
        <v>212</v>
      </c>
      <c r="M79" s="64" t="s">
        <v>213</v>
      </c>
      <c r="N79" s="62" t="e">
        <v>#N/A</v>
      </c>
      <c r="O79" s="65" t="e">
        <v>#N/A</v>
      </c>
      <c r="P79" s="62" t="e">
        <v>#N/A</v>
      </c>
      <c r="Q79" s="65" t="e">
        <v>#N/A</v>
      </c>
      <c r="R79" s="66">
        <v>7.7287600317558018</v>
      </c>
      <c r="S79" s="66" t="s">
        <v>153</v>
      </c>
      <c r="T79" s="67">
        <v>61.41</v>
      </c>
      <c r="U79" s="68">
        <v>14.199999999999998</v>
      </c>
      <c r="V79" s="67">
        <v>36.84402</v>
      </c>
    </row>
    <row r="80" spans="2:24" ht="15.75" thickBot="1" x14ac:dyDescent="0.3">
      <c r="B80" s="55" t="s">
        <v>224</v>
      </c>
      <c r="C80" s="55" t="s">
        <v>225</v>
      </c>
      <c r="D80" s="56">
        <v>77</v>
      </c>
      <c r="E80" s="56" t="s">
        <v>116</v>
      </c>
      <c r="F80" s="57" t="s">
        <v>210</v>
      </c>
      <c r="G80" s="57" t="s">
        <v>24</v>
      </c>
      <c r="H80" s="57" t="s">
        <v>211</v>
      </c>
      <c r="I80" s="57" t="s">
        <v>211</v>
      </c>
      <c r="J80" s="57" t="s">
        <v>124</v>
      </c>
      <c r="K80" s="57" t="s">
        <v>119</v>
      </c>
      <c r="L80" s="57" t="s">
        <v>212</v>
      </c>
      <c r="M80" s="57" t="s">
        <v>213</v>
      </c>
      <c r="N80" s="58" t="e">
        <v>#N/A</v>
      </c>
      <c r="O80" s="59" t="e">
        <v>#N/A</v>
      </c>
      <c r="P80" s="58" t="e">
        <v>#N/A</v>
      </c>
      <c r="Q80" s="59" t="e">
        <v>#N/A</v>
      </c>
      <c r="R80" s="60">
        <v>7.7287600317558018</v>
      </c>
      <c r="S80" s="60" t="s">
        <v>153</v>
      </c>
      <c r="T80" s="61">
        <v>61.41</v>
      </c>
      <c r="U80" s="56">
        <v>14.199999999999998</v>
      </c>
      <c r="V80" s="61">
        <v>36.84402</v>
      </c>
    </row>
    <row r="81" spans="2:22" ht="15.75" thickBot="1" x14ac:dyDescent="0.3">
      <c r="B81" s="55" t="s">
        <v>308</v>
      </c>
      <c r="C81" s="55" t="s">
        <v>309</v>
      </c>
      <c r="D81" s="62">
        <v>78</v>
      </c>
      <c r="E81" s="62" t="s">
        <v>116</v>
      </c>
      <c r="F81" s="63" t="s">
        <v>63</v>
      </c>
      <c r="G81" s="63" t="s">
        <v>21</v>
      </c>
      <c r="H81" s="63" t="s">
        <v>305</v>
      </c>
      <c r="I81" s="64" t="s">
        <v>307</v>
      </c>
      <c r="J81" s="64" t="s">
        <v>118</v>
      </c>
      <c r="K81" s="64" t="s">
        <v>119</v>
      </c>
      <c r="L81" s="64" t="s">
        <v>181</v>
      </c>
      <c r="M81" s="64" t="s">
        <v>306</v>
      </c>
      <c r="N81" s="62" t="e">
        <v>#N/A</v>
      </c>
      <c r="O81" s="65" t="e">
        <v>#N/A</v>
      </c>
      <c r="P81" s="62" t="e">
        <v>#N/A</v>
      </c>
      <c r="Q81" s="65" t="e">
        <v>#N/A</v>
      </c>
      <c r="R81" s="66">
        <v>0.26345669774378105</v>
      </c>
      <c r="S81" s="66" t="s">
        <v>191</v>
      </c>
      <c r="T81" s="67">
        <v>29.12</v>
      </c>
      <c r="U81" s="68">
        <v>45</v>
      </c>
      <c r="V81" s="67">
        <v>2.2499990120022439</v>
      </c>
    </row>
    <row r="82" spans="2:22" ht="15.75" thickBot="1" x14ac:dyDescent="0.3">
      <c r="B82" s="55" t="s">
        <v>310</v>
      </c>
      <c r="C82" s="55" t="s">
        <v>311</v>
      </c>
      <c r="D82" s="56">
        <v>79</v>
      </c>
      <c r="E82" s="56" t="s">
        <v>116</v>
      </c>
      <c r="F82" s="57" t="s">
        <v>63</v>
      </c>
      <c r="G82" s="57" t="s">
        <v>23</v>
      </c>
      <c r="H82" s="57" t="s">
        <v>305</v>
      </c>
      <c r="I82" s="57" t="s">
        <v>307</v>
      </c>
      <c r="J82" s="57" t="s">
        <v>123</v>
      </c>
      <c r="K82" s="57" t="s">
        <v>119</v>
      </c>
      <c r="L82" s="57" t="s">
        <v>181</v>
      </c>
      <c r="M82" s="57" t="s">
        <v>306</v>
      </c>
      <c r="N82" s="58" t="e">
        <v>#N/A</v>
      </c>
      <c r="O82" s="59" t="e">
        <v>#N/A</v>
      </c>
      <c r="P82" s="58" t="e">
        <v>#N/A</v>
      </c>
      <c r="Q82" s="59" t="e">
        <v>#N/A</v>
      </c>
      <c r="R82" s="60">
        <v>0.34945628860603301</v>
      </c>
      <c r="S82" s="60" t="s">
        <v>191</v>
      </c>
      <c r="T82" s="61">
        <v>29.12</v>
      </c>
      <c r="U82" s="56">
        <v>45</v>
      </c>
      <c r="V82" s="61">
        <v>2.2499990120022439</v>
      </c>
    </row>
    <row r="83" spans="2:22" ht="15.75" thickBot="1" x14ac:dyDescent="0.3">
      <c r="B83" s="55" t="s">
        <v>312</v>
      </c>
      <c r="C83" s="55" t="s">
        <v>313</v>
      </c>
      <c r="D83" s="62">
        <v>80</v>
      </c>
      <c r="E83" s="62" t="s">
        <v>116</v>
      </c>
      <c r="F83" s="63" t="s">
        <v>63</v>
      </c>
      <c r="G83" s="63" t="s">
        <v>24</v>
      </c>
      <c r="H83" s="63" t="s">
        <v>305</v>
      </c>
      <c r="I83" s="64" t="s">
        <v>307</v>
      </c>
      <c r="J83" s="64" t="s">
        <v>124</v>
      </c>
      <c r="K83" s="64" t="s">
        <v>119</v>
      </c>
      <c r="L83" s="64" t="s">
        <v>181</v>
      </c>
      <c r="M83" s="64" t="s">
        <v>306</v>
      </c>
      <c r="N83" s="62" t="e">
        <v>#N/A</v>
      </c>
      <c r="O83" s="65" t="e">
        <v>#N/A</v>
      </c>
      <c r="P83" s="62" t="e">
        <v>#N/A</v>
      </c>
      <c r="Q83" s="65" t="e">
        <v>#N/A</v>
      </c>
      <c r="R83" s="66">
        <v>0.34945628860603301</v>
      </c>
      <c r="S83" s="66" t="s">
        <v>191</v>
      </c>
      <c r="T83" s="67">
        <v>29.12</v>
      </c>
      <c r="U83" s="68">
        <v>45</v>
      </c>
      <c r="V83" s="67">
        <v>2.2499990120022439</v>
      </c>
    </row>
    <row r="86" spans="2:22" x14ac:dyDescent="0.25">
      <c r="D86" t="s">
        <v>231</v>
      </c>
    </row>
    <row r="88" spans="2:22" x14ac:dyDescent="0.25">
      <c r="D88" s="161" t="s">
        <v>236</v>
      </c>
      <c r="E88" s="99" t="s">
        <v>102</v>
      </c>
      <c r="F88" s="100" t="s">
        <v>118</v>
      </c>
      <c r="G88" s="100" t="s">
        <v>238</v>
      </c>
      <c r="H88" s="101" t="s">
        <v>123</v>
      </c>
      <c r="I88" s="100" t="s">
        <v>239</v>
      </c>
      <c r="J88" s="100" t="s">
        <v>124</v>
      </c>
      <c r="K88" s="100" t="s">
        <v>240</v>
      </c>
    </row>
    <row r="89" spans="2:22" x14ac:dyDescent="0.25">
      <c r="D89" s="162"/>
      <c r="E89" s="102" t="s">
        <v>237</v>
      </c>
      <c r="F89" s="103" t="s">
        <v>118</v>
      </c>
      <c r="G89" s="103" t="s">
        <v>238</v>
      </c>
      <c r="H89" s="104" t="s">
        <v>123</v>
      </c>
      <c r="I89" s="103" t="s">
        <v>239</v>
      </c>
      <c r="J89" s="103" t="s">
        <v>124</v>
      </c>
      <c r="K89" s="103" t="s">
        <v>240</v>
      </c>
    </row>
    <row r="90" spans="2:22" x14ac:dyDescent="0.25">
      <c r="D90" s="84" t="s">
        <v>187</v>
      </c>
      <c r="E90" s="85" t="s">
        <v>119</v>
      </c>
      <c r="F90" s="86">
        <v>186.1479950812853</v>
      </c>
      <c r="G90" s="86">
        <v>131.62650962625693</v>
      </c>
      <c r="H90" s="87">
        <v>179.75161308693163</v>
      </c>
      <c r="I90" s="86">
        <v>127.10358454298992</v>
      </c>
      <c r="J90" s="86">
        <v>198.58977323703803</v>
      </c>
      <c r="K90" s="86">
        <v>140.42417533020836</v>
      </c>
    </row>
    <row r="91" spans="2:22" x14ac:dyDescent="0.25">
      <c r="D91" s="88" t="s">
        <v>232</v>
      </c>
      <c r="E91" s="89" t="s">
        <v>128</v>
      </c>
      <c r="F91" s="90">
        <v>186.1479950812853</v>
      </c>
      <c r="G91" s="90">
        <v>131.62650962625693</v>
      </c>
      <c r="H91" s="91">
        <v>179.75161308693163</v>
      </c>
      <c r="I91" s="90">
        <v>127.10358454298992</v>
      </c>
      <c r="J91" s="90">
        <v>198.58977323703803</v>
      </c>
      <c r="K91" s="90">
        <v>140.42417533020836</v>
      </c>
    </row>
    <row r="92" spans="2:22" x14ac:dyDescent="0.25">
      <c r="D92" s="88" t="s">
        <v>233</v>
      </c>
      <c r="E92" s="92" t="s">
        <v>234</v>
      </c>
      <c r="F92" s="93"/>
      <c r="G92" s="93"/>
      <c r="H92" s="94"/>
      <c r="I92" s="93"/>
      <c r="J92" s="93"/>
      <c r="K92" s="93"/>
    </row>
    <row r="93" spans="2:22" x14ac:dyDescent="0.25">
      <c r="D93" s="95"/>
      <c r="E93" s="96" t="s">
        <v>235</v>
      </c>
      <c r="F93" s="97"/>
      <c r="G93" s="97"/>
      <c r="H93" s="98"/>
      <c r="I93" s="97"/>
      <c r="J93" s="97"/>
      <c r="K93" s="97"/>
    </row>
  </sheetData>
  <autoFilter ref="B3:X80" xr:uid="{0FF2E795-44DF-42AA-95CD-E59741697FB9}"/>
  <mergeCells count="5">
    <mergeCell ref="D88:D89"/>
    <mergeCell ref="D2:H2"/>
    <mergeCell ref="I2:M2"/>
    <mergeCell ref="N2:Q2"/>
    <mergeCell ref="R2:V2"/>
  </mergeCells>
  <phoneticPr fontId="29" type="noConversion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2C9CC07A93E8F408AFF0ECAED90C02A" ma:contentTypeVersion="44" ma:contentTypeDescription="" ma:contentTypeScope="" ma:versionID="7fee11da47926caa4f923d3d4737414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Pending</CaseStatus>
    <OpenedDate xmlns="dc463f71-b30c-4ab2-9473-d307f9d35888">2021-11-01T07:00:00+00:00</OpenedDate>
    <SignificantOrder xmlns="dc463f71-b30c-4ab2-9473-d307f9d35888">false</SignificantOrder>
    <Date1 xmlns="dc463f71-b30c-4ab2-9473-d307f9d35888">2021-11-03T07:00:00+00:00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210838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86CE79C-8FF2-4399-89D1-1B84167F8ECC}"/>
</file>

<file path=customXml/itemProps2.xml><?xml version="1.0" encoding="utf-8"?>
<ds:datastoreItem xmlns:ds="http://schemas.openxmlformats.org/officeDocument/2006/customXml" ds:itemID="{7B7EF11F-183C-4C5E-9E3B-8893F02775CF}"/>
</file>

<file path=customXml/itemProps3.xml><?xml version="1.0" encoding="utf-8"?>
<ds:datastoreItem xmlns:ds="http://schemas.openxmlformats.org/officeDocument/2006/customXml" ds:itemID="{12A24235-EFA1-48B5-B873-A21F79189A2D}"/>
</file>

<file path=customXml/itemProps4.xml><?xml version="1.0" encoding="utf-8"?>
<ds:datastoreItem xmlns:ds="http://schemas.openxmlformats.org/officeDocument/2006/customXml" ds:itemID="{E2620986-2584-4477-ACC1-4DA5B588D7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2022</vt:lpstr>
      <vt:lpstr>2023</vt:lpstr>
      <vt:lpstr>Tariff</vt:lpstr>
      <vt:lpstr>APP 2885</vt:lpstr>
      <vt:lpstr>Res Measure Mapping</vt:lpstr>
      <vt:lpstr>'2023'!JR_PAGE_ANCHOR_0_1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2021-03-25T17:14:04Z</dcterms:created>
  <dcterms:modified xsi:type="dcterms:W3CDTF">2021-10-28T22:44:36Z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0x0101006E56B4D1795A2E4DB2F0B01679ED314A00F2C9CC07A93E8F408AFF0ECAED90C02A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