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tdpt2.puget.com\rpl\GrpRates\Public\RASANEN\#  Rate Filings\Sch 95A PTC Treas Grant\2022\ProposedForTariffs\Update\"/>
    </mc:Choice>
  </mc:AlternateContent>
  <bookViews>
    <workbookView xWindow="120" yWindow="108" windowWidth="15180" windowHeight="6492" firstSheet="3" activeTab="5"/>
  </bookViews>
  <sheets>
    <sheet name="Lead Sheet" sheetId="27" r:id="rId1"/>
    <sheet name="Rate Impacts" sheetId="33" r:id="rId2"/>
    <sheet name="Peak Credit Spread" sheetId="72" r:id="rId3"/>
    <sheet name="Estimated Proforma Net Revenue" sheetId="83" r:id="rId4"/>
    <sheet name="Street &amp; Area Lighting" sheetId="98" r:id="rId5"/>
    <sheet name="Typical Residential Notice" sheetId="105" r:id="rId6"/>
    <sheet name="Rev Req 2022" sheetId="106" r:id="rId7"/>
    <sheet name="Sch 95A Eff 1-1-21" sheetId="76" r:id="rId8"/>
    <sheet name="UE-190529 LR Data Summary" sheetId="104" r:id="rId9"/>
    <sheet name="UE-190529 LR Data - Dem 4CP" sheetId="103" r:id="rId10"/>
    <sheet name="UE-190529 LR Data - Energy" sheetId="102" r:id="rId11"/>
  </sheets>
  <externalReferences>
    <externalReference r:id="rId12"/>
    <externalReference r:id="rId13"/>
  </externalReferences>
  <definedNames>
    <definedName name="__________________six6" hidden="1">{#N/A,#N/A,FALSE,"CRPT";#N/A,#N/A,FALSE,"TREND";#N/A,#N/A,FALSE,"%Curve"}</definedName>
    <definedName name="__________________www1" hidden="1">{#N/A,#N/A,FALSE,"schA"}</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six6" hidden="1">{#N/A,#N/A,FALSE,"CRPT";#N/A,#N/A,FALSE,"TREND";#N/A,#N/A,FALSE,"%Curve"}</definedName>
    <definedName name="____________www1" hidden="1">{#N/A,#N/A,FALSE,"schA"}</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six6" hidden="1">{#N/A,#N/A,FALSE,"CRPT";#N/A,#N/A,FALSE,"TREND";#N/A,#N/A,FALSE,"%Curve"}</definedName>
    <definedName name="_________www1" hidden="1">{#N/A,#N/A,FALSE,"schA"}</definedName>
    <definedName name="________six6" hidden="1">{#N/A,#N/A,FALSE,"CRPT";#N/A,#N/A,FALSE,"TREND";#N/A,#N/A,FALSE,"%Curve"}</definedName>
    <definedName name="________www1" hidden="1">{#N/A,#N/A,FALSE,"schA"}</definedName>
    <definedName name="_______six6" hidden="1">{#N/A,#N/A,FALSE,"CRPT";#N/A,#N/A,FALSE,"TREND";#N/A,#N/A,FALSE,"%Curve"}</definedName>
    <definedName name="_______www1" hidden="1">{#N/A,#N/A,FALSE,"schA"}</definedName>
    <definedName name="______Jun09">" BS!$AI$7:$AI$1643"</definedName>
    <definedName name="______six6" hidden="1">{#N/A,#N/A,FALSE,"CRPT";#N/A,#N/A,FALSE,"TREND";#N/A,#N/A,FALSE,"%Curve"}</definedName>
    <definedName name="______www1" hidden="1">{#N/A,#N/A,FALSE,"schA"}</definedName>
    <definedName name="_____Jun09">" BS!$AI$7:$AI$1643"</definedName>
    <definedName name="_____six6" hidden="1">{#N/A,#N/A,FALSE,"CRPT";#N/A,#N/A,FALSE,"TREND";#N/A,#N/A,FALSE,"%Curve"}</definedName>
    <definedName name="_____www1" hidden="1">{#N/A,#N/A,FALSE,"schA"}</definedName>
    <definedName name="____Jun09">" BS!$AI$7:$AI$1643"</definedName>
    <definedName name="____six6" hidden="1">{#N/A,#N/A,FALSE,"CRPT";#N/A,#N/A,FALSE,"TREND";#N/A,#N/A,FALSE,"%Curve"}</definedName>
    <definedName name="____www1" hidden="1">{#N/A,#N/A,FALSE,"schA"}</definedName>
    <definedName name="___Jun09">" BS!$AI$7:$AI$1643"</definedName>
    <definedName name="___six6" hidden="1">{#N/A,#N/A,FALSE,"CRPT";#N/A,#N/A,FALSE,"TREND";#N/A,#N/A,FALSE,"%Curve"}</definedName>
    <definedName name="___www1" hidden="1">{#N/A,#N/A,FALSE,"schA"}</definedName>
    <definedName name="__123Graph_D" hidden="1">#REF!</definedName>
    <definedName name="__123Graph_ECURRENT" hidden="1">[1]ConsolidatingPL!#REF!</definedName>
    <definedName name="__Jun09">" BS!$AI$7:$AI$1643"</definedName>
    <definedName name="__six6" hidden="1">{#N/A,#N/A,FALSE,"CRPT";#N/A,#N/A,FALSE,"TREND";#N/A,#N/A,FALSE,"%Curve"}</definedName>
    <definedName name="__www1" hidden="1">{#N/A,#N/A,FALSE,"schA"}</definedName>
    <definedName name="_ex1" hidden="1">{#N/A,#N/A,FALSE,"Summ";#N/A,#N/A,FALSE,"General"}</definedName>
    <definedName name="_Fill" hidden="1">#REF!</definedName>
    <definedName name="_Key1" hidden="1">#REF!</definedName>
    <definedName name="_Key2" hidden="1">#REF!</definedName>
    <definedName name="_new1" hidden="1">{#N/A,#N/A,FALSE,"Summ";#N/A,#N/A,FALSE,"General"}</definedName>
    <definedName name="_Order1" localSheetId="9">0</definedName>
    <definedName name="_Order1" localSheetId="10">0</definedName>
    <definedName name="_Order1" localSheetId="8">0</definedName>
    <definedName name="_Order1">255</definedName>
    <definedName name="_Order2" localSheetId="9">0</definedName>
    <definedName name="_Order2" localSheetId="10">0</definedName>
    <definedName name="_Order2" localSheetId="8">0</definedName>
    <definedName name="_Order2">255</definedName>
    <definedName name="_Regression_Int">1</definedName>
    <definedName name="_six6" hidden="1">{#N/A,#N/A,FALSE,"CRPT";#N/A,#N/A,FALSE,"TREND";#N/A,#N/A,FALSE,"%Curve"}</definedName>
    <definedName name="_Sort" hidden="1">#REF!</definedName>
    <definedName name="_www1" hidden="1">{#N/A,#N/A,FALSE,"schA"}</definedName>
    <definedName name="a" hidden="1">{#N/A,#N/A,FALSE,"Coversheet";#N/A,#N/A,FALSE,"QA"}</definedName>
    <definedName name="AccessDatabase">"I:\COMTREL\FINICLE\TradeSummary.mdb"</definedName>
    <definedName name="AS2DocOpenMode">"AS2DocumentEdit"</definedName>
    <definedName name="Aurora_Prices">"Monthly Price Summary'!$C$4:$H$63"</definedName>
    <definedName name="b" hidden="1">{#N/A,#N/A,FALSE,"Coversheet";#N/A,#N/A,FALSE,"QA"}</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[2]ZZCOOM_M03_Q004!#REF!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[2]ZZCOOM_M03_Q004!#REF!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[2]ZZCOOM_M03_Q004!#REF!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[2]ZZCOOM_M03_Q004!#REF!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[2]ZZCOOM_M03_Q004!#REF!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[2]ZZCOOM_M03_Q004!#REF!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um" hidden="1">#REF!</definedName>
    <definedName name="Button_1">"TradeSummary_Ken_Finicle_List"</definedName>
    <definedName name="CBWorkbookPriority">-2060790043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rror" hidden="1">{#N/A,#N/A,FALSE,"Coversheet";#N/A,#N/A,FALSE,"QA"}</definedName>
    <definedName name="Estimate" hidden="1">{#N/A,#N/A,FALSE,"Summ";#N/A,#N/A,FALSE,"General"}</definedName>
    <definedName name="ex" hidden="1">{#N/A,#N/A,FALSE,"Summ";#N/A,#N/A,FALSE,"General"}</definedName>
    <definedName name="F" hidden="1">#REF!</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TML_CodePage">1252</definedName>
    <definedName name="HTML_Control" localSheetId="6">{"'Sheet1'!$A$1:$J$121"}</definedName>
    <definedName name="HTML_Control" localSheetId="4">{"'Sheet1'!$A$1:$J$121"}</definedName>
    <definedName name="HTML_Control" localSheetId="5">{"'Sheet1'!$A$1:$J$121"}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income_satement_ytd"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1</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lookup" hidden="1">{#N/A,#N/A,FALSE,"Coversheet";#N/A,#N/A,FALSE,"QA"}</definedName>
    <definedName name="Miller" hidden="1">{#N/A,#N/A,FALSE,"Expenditures";#N/A,#N/A,FALSE,"Property Placed In-Service";#N/A,#N/A,FALSE,"CWIP Balances"}</definedName>
    <definedName name="new" hidden="1">{#N/A,#N/A,FALSE,"Summ";#N/A,#N/A,FALSE,"General"}</definedName>
    <definedName name="Number_of_Payments" localSheetId="6">MATCH(0.01,End_Bal,-1)+1</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ROJECT_ID">"PROJECT_TBL_VW"</definedName>
    <definedName name="NvsValTbl.STATISTICS_CODE">"STAT_TBL"</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3">'Estimated Proforma Net Revenue'!$A$1:$P$35</definedName>
    <definedName name="_xlnm.Print_Area" localSheetId="0">'Lead Sheet'!$A$1:$A$15</definedName>
    <definedName name="_xlnm.Print_Area" localSheetId="2">'Peak Credit Spread'!$A$1:$L$33</definedName>
    <definedName name="_xlnm.Print_Area" localSheetId="1">'Rate Impacts'!$A$1:$K$50</definedName>
    <definedName name="_xlnm.Print_Area" localSheetId="7">'Sch 95A Eff 1-1-21'!$A$1:$K$40</definedName>
    <definedName name="_xlnm.Print_Area" localSheetId="4">'Street &amp; Area Lighting'!$A$1:$J$199</definedName>
    <definedName name="_xlnm.Print_Area" localSheetId="5">'Typical Residential Notice'!$A$1:$N$93</definedName>
    <definedName name="_xlnm.Print_Area" localSheetId="9">'UE-190529 LR Data - Dem 4CP'!#REF!</definedName>
    <definedName name="_xlnm.Print_Area" localSheetId="8">'UE-190529 LR Data Summary'!$A$1:$H$25</definedName>
    <definedName name="_xlnm.Print_Titles" localSheetId="4">'Street &amp; Area Lighting'!$1:$13</definedName>
    <definedName name="q" hidden="1">{#N/A,#N/A,FALSE,"Coversheet";#N/A,#N/A,FALSE,"QA"}</definedName>
    <definedName name="qqq" hidden="1">{#N/A,#N/A,FALSE,"schA"}</definedName>
    <definedName name="SAPBEXhrIndnt">"Wide"</definedName>
    <definedName name="SAPsysID">"708C5W7SBKP804JT78WJ0JNKI"</definedName>
    <definedName name="SAPwbID">"ARS"</definedName>
    <definedName name="sdlfhsdlhfkl" hidden="1">{#N/A,#N/A,FALSE,"Summ";#N/A,#N/A,FALSE,"General"}</definedName>
    <definedName name="seven" hidden="1">{#N/A,#N/A,FALSE,"CRPT";#N/A,#N/A,FALSE,"TREND";#N/A,#N/A,FALSE,"%Curve"}</definedName>
    <definedName name="six" hidden="1">{#N/A,#N/A,FALSE,"Drill Sites";"WP 212",#N/A,FALSE,"MWAG EOR";"WP 213",#N/A,FALSE,"MWAG EOR";#N/A,#N/A,FALSE,"Misc. Facility";#N/A,#N/A,FALSE,"WWTP"}</definedName>
    <definedName name="solver_eval">0</definedName>
    <definedName name="solver_ntri">1000</definedName>
    <definedName name="solver_rsmp">1</definedName>
    <definedName name="solver_seed">0</definedName>
    <definedName name="t" hidden="1">{#N/A,#N/A,FALSE,"CESTSUM";#N/A,#N/A,FALSE,"est sum A";#N/A,#N/A,FALSE,"est detail A"}</definedName>
    <definedName name="tem" hidden="1">{#N/A,#N/A,FALSE,"Summ";#N/A,#N/A,FALSE,"General"}</definedName>
    <definedName name="temp" hidden="1">{#N/A,#N/A,FALSE,"Pg 6a CustCount_Electric";#N/A,#N/A,FALSE,"QA";"monthly",#N/A,FALSE,"Elect_Cust#Avg";"Year To Date",#N/A,FALSE,"Elect_Cust#Avg";"Rollling 12 months ended",#N/A,FALSE,"Elect_Cust#Avg";"Budget Month",#N/A,FALSE,"Electric";"Budget YTD",#N/A,FALSE,"Electric";"Budget 12 months",#N/A,FALSE,"Electric"}</definedName>
    <definedName name="Temp1" hidden="1">{#N/A,#N/A,FALSE,"CESTSUM";#N/A,#N/A,FALSE,"est sum A";#N/A,#N/A,FALSE,"est detail A"}</definedName>
    <definedName name="temp2"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 hidden="1">{#N/A,#N/A,FALSE,"Coversheet";#N/A,#N/A,FALSE,"QA"}</definedName>
    <definedName name="Value" hidden="1">{#N/A,#N/A,FALSE,"Summ";#N/A,#N/A,FALSE,"General"}</definedName>
    <definedName name="Values_Entered" localSheetId="6">IF(Loan_Amount*Interest_Rate*Loan_Years*Loan_Start&gt;0,1,0)</definedName>
    <definedName name="Values_Entered">IF(Loan_Amount*Interest_Rate*Loan_Years*Loan_Start&gt;0,1,0)</definedName>
    <definedName name="w" hidden="1">{#N/A,#N/A,FALSE,"Schedule F";#N/A,#N/A,FALSE,"Schedule G"}</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hidden="1">{#N/A,#N/A,FALSE,"Summ";#N/A,#N/A,FALSE,"General"}</definedName>
    <definedName name="z" hidden="1">{#N/A,#N/A,FALSE,"Coversheet";#N/A,#N/A,FALSE,"QA"}</definedName>
  </definedNames>
  <calcPr calcId="162913"/>
</workbook>
</file>

<file path=xl/calcChain.xml><?xml version="1.0" encoding="utf-8"?>
<calcChain xmlns="http://schemas.openxmlformats.org/spreadsheetml/2006/main">
  <c r="A24" i="98" l="1"/>
  <c r="A25" i="98" s="1"/>
  <c r="F30" i="33" l="1"/>
  <c r="F28" i="33"/>
  <c r="F24" i="33"/>
  <c r="F23" i="33"/>
  <c r="Q105" i="98"/>
  <c r="E51" i="105" l="1"/>
  <c r="F51" i="105" s="1"/>
  <c r="F54" i="105"/>
  <c r="F53" i="105"/>
  <c r="E45" i="105"/>
  <c r="E44" i="105"/>
  <c r="E43" i="105"/>
  <c r="E42" i="105"/>
  <c r="E41" i="105"/>
  <c r="E40" i="105"/>
  <c r="E36" i="105"/>
  <c r="E25" i="98" l="1"/>
  <c r="H25" i="98" l="1"/>
  <c r="E69" i="98"/>
  <c r="J7" i="72" l="1"/>
  <c r="H7" i="72"/>
  <c r="G7" i="72"/>
  <c r="E25" i="72"/>
  <c r="I25" i="72"/>
  <c r="C12" i="106"/>
  <c r="C13" i="106" s="1"/>
  <c r="C14" i="106" s="1"/>
  <c r="C15" i="106" s="1"/>
  <c r="C16" i="106" s="1"/>
  <c r="C17" i="106" s="1"/>
  <c r="C18" i="106" s="1"/>
  <c r="C19" i="106" s="1"/>
  <c r="C20" i="106" s="1"/>
  <c r="C21" i="106" s="1"/>
  <c r="C22" i="106" s="1"/>
  <c r="C23" i="106" s="1"/>
  <c r="C24" i="106" s="1"/>
  <c r="C25" i="106" s="1"/>
  <c r="C26" i="106" s="1"/>
  <c r="C27" i="106" s="1"/>
  <c r="C28" i="106" s="1"/>
  <c r="C29" i="106" s="1"/>
  <c r="C30" i="106" s="1"/>
  <c r="C31" i="106" s="1"/>
  <c r="C32" i="106" s="1"/>
  <c r="C33" i="106" s="1"/>
  <c r="C34" i="106" s="1"/>
  <c r="C35" i="106" s="1"/>
  <c r="C36" i="106" s="1"/>
  <c r="F17" i="106"/>
  <c r="G17" i="106"/>
  <c r="H17" i="106" s="1"/>
  <c r="G19" i="106"/>
  <c r="H19" i="106" s="1"/>
  <c r="F21" i="106"/>
  <c r="F25" i="106" s="1"/>
  <c r="F29" i="106" s="1"/>
  <c r="F32" i="106" s="1"/>
  <c r="F36" i="106" s="1"/>
  <c r="G21" i="106"/>
  <c r="H21" i="106" s="1"/>
  <c r="H27" i="106"/>
  <c r="F44" i="106" s="1"/>
  <c r="G31" i="106"/>
  <c r="H31" i="106"/>
  <c r="H34" i="106"/>
  <c r="G25" i="106" l="1"/>
  <c r="G29" i="106" l="1"/>
  <c r="H25" i="106"/>
  <c r="G32" i="106" l="1"/>
  <c r="G36" i="106" s="1"/>
  <c r="H29" i="106"/>
  <c r="F18" i="103"/>
  <c r="H32" i="106" l="1"/>
  <c r="H36" i="106" s="1"/>
  <c r="F45" i="106"/>
  <c r="F46" i="106" s="1"/>
  <c r="P18" i="103" l="1"/>
  <c r="Q18" i="103"/>
  <c r="R18" i="103"/>
  <c r="C7" i="105" l="1"/>
  <c r="C8" i="105"/>
  <c r="C9" i="105"/>
  <c r="C10" i="105"/>
  <c r="C11" i="105"/>
  <c r="C12" i="105"/>
  <c r="C20" i="105" s="1"/>
  <c r="C13" i="105"/>
  <c r="C14" i="105"/>
  <c r="C15" i="105"/>
  <c r="C16" i="105"/>
  <c r="C17" i="105"/>
  <c r="C18" i="105"/>
  <c r="C22" i="105"/>
  <c r="C23" i="105"/>
  <c r="F27" i="105"/>
  <c r="H8" i="105" s="1"/>
  <c r="E28" i="105"/>
  <c r="F30" i="105"/>
  <c r="F31" i="105"/>
  <c r="F32" i="105"/>
  <c r="F33" i="105"/>
  <c r="F34" i="105"/>
  <c r="F35" i="105"/>
  <c r="F36" i="105"/>
  <c r="E37" i="105"/>
  <c r="F39" i="105"/>
  <c r="F40" i="105"/>
  <c r="F41" i="105"/>
  <c r="F42" i="105"/>
  <c r="F43" i="105"/>
  <c r="F44" i="105"/>
  <c r="F45" i="105"/>
  <c r="E46" i="105"/>
  <c r="F48" i="105"/>
  <c r="F46" i="105" l="1"/>
  <c r="F37" i="105"/>
  <c r="F28" i="105"/>
  <c r="H13" i="105"/>
  <c r="H23" i="105"/>
  <c r="H18" i="105"/>
  <c r="H10" i="105"/>
  <c r="H15" i="105"/>
  <c r="H17" i="105"/>
  <c r="H9" i="105"/>
  <c r="H22" i="105"/>
  <c r="H12" i="105"/>
  <c r="H14" i="105"/>
  <c r="H11" i="105"/>
  <c r="H7" i="105"/>
  <c r="H16" i="105"/>
  <c r="H20" i="105" l="1"/>
  <c r="B22" i="105" l="1"/>
  <c r="B20" i="105"/>
  <c r="A18" i="72"/>
  <c r="A23" i="33"/>
  <c r="F19" i="72" l="1"/>
  <c r="F12" i="72"/>
  <c r="F10" i="72"/>
  <c r="D19" i="72" l="1"/>
  <c r="D18" i="72"/>
  <c r="D12" i="72"/>
  <c r="D10" i="72"/>
  <c r="E20" i="104" l="1"/>
  <c r="F20" i="104" s="1"/>
  <c r="F23" i="72" s="1"/>
  <c r="C20" i="104"/>
  <c r="D20" i="104" s="1"/>
  <c r="D23" i="72" s="1"/>
  <c r="E19" i="104"/>
  <c r="C19" i="104"/>
  <c r="E18" i="104"/>
  <c r="F18" i="104" s="1"/>
  <c r="F21" i="72" s="1"/>
  <c r="C18" i="104"/>
  <c r="D18" i="104" s="1"/>
  <c r="D21" i="72" s="1"/>
  <c r="F17" i="104"/>
  <c r="C17" i="104"/>
  <c r="D17" i="104" s="1"/>
  <c r="E16" i="104"/>
  <c r="C16" i="104"/>
  <c r="F15" i="104"/>
  <c r="F16" i="72" s="1"/>
  <c r="C15" i="104"/>
  <c r="D15" i="104" s="1"/>
  <c r="D16" i="72" s="1"/>
  <c r="E14" i="104"/>
  <c r="F14" i="104" s="1"/>
  <c r="F15" i="72" s="1"/>
  <c r="C14" i="104"/>
  <c r="D14" i="104" s="1"/>
  <c r="D15" i="72" s="1"/>
  <c r="E13" i="104"/>
  <c r="F13" i="104" s="1"/>
  <c r="F14" i="72" s="1"/>
  <c r="C13" i="104"/>
  <c r="D13" i="104" s="1"/>
  <c r="D14" i="72" s="1"/>
  <c r="C12" i="104"/>
  <c r="D12" i="104" s="1"/>
  <c r="D11" i="72" s="1"/>
  <c r="E12" i="104"/>
  <c r="F12" i="104" s="1"/>
  <c r="F11" i="72" s="1"/>
  <c r="E11" i="104"/>
  <c r="F11" i="104" s="1"/>
  <c r="C11" i="104"/>
  <c r="D11" i="104" s="1"/>
  <c r="E10" i="104"/>
  <c r="F10" i="104" s="1"/>
  <c r="F9" i="72" s="1"/>
  <c r="C10" i="104"/>
  <c r="D10" i="104" s="1"/>
  <c r="D9" i="72" s="1"/>
  <c r="E9" i="104"/>
  <c r="C9" i="104"/>
  <c r="O18" i="103"/>
  <c r="N18" i="103"/>
  <c r="M18" i="103"/>
  <c r="L18" i="103"/>
  <c r="K18" i="103"/>
  <c r="J18" i="103"/>
  <c r="I18" i="103"/>
  <c r="H18" i="103"/>
  <c r="G18" i="103"/>
  <c r="E18" i="103"/>
  <c r="D18" i="103"/>
  <c r="Q16" i="103"/>
  <c r="Q15" i="103"/>
  <c r="Q14" i="103"/>
  <c r="Q13" i="103"/>
  <c r="Q12" i="103"/>
  <c r="Q11" i="103"/>
  <c r="Q10" i="103"/>
  <c r="Q9" i="103"/>
  <c r="Q8" i="103"/>
  <c r="Q7" i="103"/>
  <c r="Q6" i="103"/>
  <c r="Q5" i="103"/>
  <c r="C22" i="104" l="1"/>
  <c r="C24" i="104" s="1"/>
  <c r="D9" i="104"/>
  <c r="F9" i="104"/>
  <c r="E22" i="104"/>
  <c r="E24" i="104" s="1"/>
  <c r="G22" i="104"/>
  <c r="G24" i="104" s="1"/>
  <c r="H22" i="104"/>
  <c r="H24" i="104" s="1"/>
  <c r="D22" i="104" l="1"/>
  <c r="D7" i="72"/>
  <c r="F22" i="104"/>
  <c r="F35" i="72" s="1"/>
  <c r="F7" i="72"/>
  <c r="F25" i="72" l="1"/>
  <c r="F36" i="72" s="1"/>
  <c r="D25" i="72"/>
  <c r="E7" i="72" s="1"/>
  <c r="F24" i="104"/>
  <c r="D24" i="104"/>
  <c r="D35" i="72"/>
  <c r="D36" i="72" l="1"/>
  <c r="A10" i="83" l="1"/>
  <c r="A11" i="83" s="1"/>
  <c r="A12" i="83" s="1"/>
  <c r="A13" i="83" s="1"/>
  <c r="A14" i="83" s="1"/>
  <c r="A15" i="83" s="1"/>
  <c r="A16" i="83" s="1"/>
  <c r="A17" i="83" s="1"/>
  <c r="A18" i="83" s="1"/>
  <c r="A19" i="83" s="1"/>
  <c r="A20" i="83" s="1"/>
  <c r="A21" i="83" s="1"/>
  <c r="A22" i="83" s="1"/>
  <c r="A23" i="83" l="1"/>
  <c r="A24" i="83" s="1"/>
  <c r="A25" i="83" s="1"/>
  <c r="A26" i="83" s="1"/>
  <c r="A27" i="83" s="1"/>
  <c r="A28" i="83" s="1"/>
  <c r="A29" i="83" s="1"/>
  <c r="A30" i="83" s="1"/>
  <c r="A31" i="83" s="1"/>
  <c r="A32" i="83" s="1"/>
  <c r="A33" i="83" s="1"/>
  <c r="A34" i="83" s="1"/>
  <c r="A35" i="83" s="1"/>
  <c r="E199" i="98" l="1"/>
  <c r="E198" i="98"/>
  <c r="H198" i="98" s="1"/>
  <c r="E197" i="98"/>
  <c r="E196" i="98"/>
  <c r="H196" i="98" s="1"/>
  <c r="E195" i="98"/>
  <c r="H195" i="98" s="1"/>
  <c r="E194" i="98"/>
  <c r="H194" i="98" s="1"/>
  <c r="E193" i="98"/>
  <c r="E192" i="98"/>
  <c r="H192" i="98" s="1"/>
  <c r="E191" i="98"/>
  <c r="E190" i="98"/>
  <c r="H190" i="98" s="1"/>
  <c r="E189" i="98"/>
  <c r="E188" i="98"/>
  <c r="H188" i="98" s="1"/>
  <c r="E187" i="98"/>
  <c r="H187" i="98" s="1"/>
  <c r="E186" i="98"/>
  <c r="H186" i="98" s="1"/>
  <c r="B186" i="98"/>
  <c r="B187" i="98" s="1"/>
  <c r="B188" i="98" s="1"/>
  <c r="B189" i="98" s="1"/>
  <c r="B190" i="98" s="1"/>
  <c r="B191" i="98" s="1"/>
  <c r="B192" i="98" s="1"/>
  <c r="B193" i="98" s="1"/>
  <c r="B194" i="98" s="1"/>
  <c r="B195" i="98" s="1"/>
  <c r="B196" i="98" s="1"/>
  <c r="B197" i="98" s="1"/>
  <c r="B198" i="98" s="1"/>
  <c r="B199" i="98" s="1"/>
  <c r="E185" i="98"/>
  <c r="E183" i="98"/>
  <c r="H183" i="98" s="1"/>
  <c r="E182" i="98"/>
  <c r="H182" i="98" s="1"/>
  <c r="B182" i="98"/>
  <c r="B183" i="98" s="1"/>
  <c r="E180" i="98"/>
  <c r="E179" i="98"/>
  <c r="H179" i="98" s="1"/>
  <c r="E178" i="98"/>
  <c r="H178" i="98" s="1"/>
  <c r="E177" i="98"/>
  <c r="H177" i="98" s="1"/>
  <c r="E175" i="98"/>
  <c r="E174" i="98"/>
  <c r="E173" i="98"/>
  <c r="H173" i="98" s="1"/>
  <c r="E172" i="98"/>
  <c r="H172" i="98" s="1"/>
  <c r="B172" i="98"/>
  <c r="B173" i="98" s="1"/>
  <c r="B174" i="98" s="1"/>
  <c r="B175" i="98" s="1"/>
  <c r="E171" i="98"/>
  <c r="H171" i="98" s="1"/>
  <c r="E169" i="98"/>
  <c r="H169" i="98" s="1"/>
  <c r="E168" i="98"/>
  <c r="E167" i="98"/>
  <c r="E166" i="98"/>
  <c r="H166" i="98" s="1"/>
  <c r="E165" i="98"/>
  <c r="B165" i="98"/>
  <c r="B166" i="98" s="1"/>
  <c r="B167" i="98" s="1"/>
  <c r="B168" i="98" s="1"/>
  <c r="B169" i="98" s="1"/>
  <c r="E164" i="98"/>
  <c r="H164" i="98" s="1"/>
  <c r="E161" i="98"/>
  <c r="H161" i="98" s="1"/>
  <c r="H20" i="98" s="1"/>
  <c r="E158" i="98"/>
  <c r="E157" i="98"/>
  <c r="E156" i="98"/>
  <c r="E155" i="98"/>
  <c r="H155" i="98" s="1"/>
  <c r="E154" i="98"/>
  <c r="E153" i="98"/>
  <c r="E152" i="98"/>
  <c r="H152" i="98" s="1"/>
  <c r="E151" i="98"/>
  <c r="H151" i="98" s="1"/>
  <c r="E150" i="98"/>
  <c r="E148" i="98"/>
  <c r="H148" i="98" s="1"/>
  <c r="E146" i="98"/>
  <c r="H146" i="98" s="1"/>
  <c r="E145" i="98"/>
  <c r="H145" i="98" s="1"/>
  <c r="E144" i="98"/>
  <c r="E143" i="98"/>
  <c r="H143" i="98" s="1"/>
  <c r="E142" i="98"/>
  <c r="H142" i="98" s="1"/>
  <c r="B142" i="98"/>
  <c r="B143" i="98" s="1"/>
  <c r="B144" i="98" s="1"/>
  <c r="B145" i="98" s="1"/>
  <c r="B146" i="98" s="1"/>
  <c r="B148" i="98" s="1"/>
  <c r="E141" i="98"/>
  <c r="H141" i="98" s="1"/>
  <c r="E138" i="98"/>
  <c r="E137" i="98"/>
  <c r="E136" i="98"/>
  <c r="H136" i="98" s="1"/>
  <c r="E135" i="98"/>
  <c r="H135" i="98" s="1"/>
  <c r="E134" i="98"/>
  <c r="H134" i="98" s="1"/>
  <c r="E133" i="98"/>
  <c r="H133" i="98" s="1"/>
  <c r="E132" i="98"/>
  <c r="H132" i="98" s="1"/>
  <c r="E131" i="98"/>
  <c r="E130" i="98"/>
  <c r="H130" i="98" s="1"/>
  <c r="E128" i="98"/>
  <c r="H128" i="98" s="1"/>
  <c r="E127" i="98"/>
  <c r="H127" i="98" s="1"/>
  <c r="E126" i="98"/>
  <c r="H126" i="98" s="1"/>
  <c r="E125" i="98"/>
  <c r="E124" i="98"/>
  <c r="H124" i="98" s="1"/>
  <c r="E123" i="98"/>
  <c r="H123" i="98" s="1"/>
  <c r="E122" i="98"/>
  <c r="E121" i="98"/>
  <c r="B121" i="98"/>
  <c r="B122" i="98" s="1"/>
  <c r="B123" i="98" s="1"/>
  <c r="B124" i="98" s="1"/>
  <c r="B125" i="98" s="1"/>
  <c r="B126" i="98" s="1"/>
  <c r="B127" i="98" s="1"/>
  <c r="B128" i="98" s="1"/>
  <c r="B130" i="98" s="1"/>
  <c r="B131" i="98" s="1"/>
  <c r="B132" i="98" s="1"/>
  <c r="B133" i="98" s="1"/>
  <c r="B134" i="98" s="1"/>
  <c r="B135" i="98" s="1"/>
  <c r="B136" i="98" s="1"/>
  <c r="B137" i="98" s="1"/>
  <c r="B138" i="98" s="1"/>
  <c r="E120" i="98"/>
  <c r="H120" i="98" s="1"/>
  <c r="E117" i="98"/>
  <c r="E116" i="98"/>
  <c r="E115" i="98"/>
  <c r="E114" i="98"/>
  <c r="E113" i="98"/>
  <c r="E112" i="98"/>
  <c r="E111" i="98"/>
  <c r="E110" i="98"/>
  <c r="E109" i="98"/>
  <c r="E107" i="98"/>
  <c r="E106" i="98"/>
  <c r="E105" i="98"/>
  <c r="E104" i="98"/>
  <c r="E103" i="98"/>
  <c r="E102" i="98"/>
  <c r="E100" i="98"/>
  <c r="E99" i="98"/>
  <c r="E98" i="98"/>
  <c r="E97" i="98"/>
  <c r="E96" i="98"/>
  <c r="E95" i="98"/>
  <c r="E94" i="98"/>
  <c r="E93" i="98"/>
  <c r="B93" i="98"/>
  <c r="B94" i="98" s="1"/>
  <c r="B95" i="98" s="1"/>
  <c r="B96" i="98" s="1"/>
  <c r="B97" i="98" s="1"/>
  <c r="B98" i="98" s="1"/>
  <c r="B99" i="98" s="1"/>
  <c r="B100" i="98" s="1"/>
  <c r="B102" i="98" s="1"/>
  <c r="B103" i="98" s="1"/>
  <c r="B104" i="98" s="1"/>
  <c r="B105" i="98" s="1"/>
  <c r="B106" i="98" s="1"/>
  <c r="B107" i="98" s="1"/>
  <c r="B109" i="98" s="1"/>
  <c r="B110" i="98" s="1"/>
  <c r="B111" i="98" s="1"/>
  <c r="B112" i="98" s="1"/>
  <c r="B113" i="98" s="1"/>
  <c r="B114" i="98" s="1"/>
  <c r="B115" i="98" s="1"/>
  <c r="B116" i="98" s="1"/>
  <c r="B117" i="98" s="1"/>
  <c r="E92" i="98"/>
  <c r="E90" i="98"/>
  <c r="E89" i="98"/>
  <c r="E88" i="98"/>
  <c r="E87" i="98"/>
  <c r="E86" i="98"/>
  <c r="E85" i="98"/>
  <c r="E84" i="98"/>
  <c r="E83" i="98"/>
  <c r="E82" i="98"/>
  <c r="E80" i="98"/>
  <c r="E79" i="98"/>
  <c r="E78" i="98"/>
  <c r="E77" i="98"/>
  <c r="E76" i="98"/>
  <c r="E74" i="98"/>
  <c r="E73" i="98"/>
  <c r="E72" i="98"/>
  <c r="E71" i="98"/>
  <c r="E70" i="98"/>
  <c r="E68" i="98"/>
  <c r="E67" i="98"/>
  <c r="B67" i="98"/>
  <c r="B68" i="98" s="1"/>
  <c r="B69" i="98" s="1"/>
  <c r="B70" i="98" s="1"/>
  <c r="B71" i="98" s="1"/>
  <c r="B72" i="98" s="1"/>
  <c r="B73" i="98" s="1"/>
  <c r="B74" i="98" s="1"/>
  <c r="B76" i="98" s="1"/>
  <c r="B77" i="98" s="1"/>
  <c r="B78" i="98" s="1"/>
  <c r="B79" i="98" s="1"/>
  <c r="B80" i="98" s="1"/>
  <c r="B82" i="98" s="1"/>
  <c r="B83" i="98" s="1"/>
  <c r="B84" i="98" s="1"/>
  <c r="B85" i="98" s="1"/>
  <c r="B86" i="98" s="1"/>
  <c r="B87" i="98" s="1"/>
  <c r="B88" i="98" s="1"/>
  <c r="B89" i="98" s="1"/>
  <c r="B90" i="98" s="1"/>
  <c r="E66" i="98"/>
  <c r="E63" i="98"/>
  <c r="E62" i="98"/>
  <c r="H62" i="98" s="1"/>
  <c r="E61" i="98"/>
  <c r="H61" i="98" s="1"/>
  <c r="C61" i="98"/>
  <c r="C62" i="98" s="1"/>
  <c r="C63" i="98" s="1"/>
  <c r="E60" i="98"/>
  <c r="H60" i="98" s="1"/>
  <c r="E59" i="98"/>
  <c r="H59" i="98" s="1"/>
  <c r="E58" i="98"/>
  <c r="H58" i="98" s="1"/>
  <c r="E57" i="98"/>
  <c r="H57" i="98" s="1"/>
  <c r="E55" i="98"/>
  <c r="H55" i="98" s="1"/>
  <c r="E54" i="98"/>
  <c r="H54" i="98" s="1"/>
  <c r="E53" i="98"/>
  <c r="H53" i="98" s="1"/>
  <c r="E52" i="98"/>
  <c r="E51" i="98"/>
  <c r="E50" i="98"/>
  <c r="E49" i="98"/>
  <c r="H49" i="98" s="1"/>
  <c r="B49" i="98"/>
  <c r="B50" i="98" s="1"/>
  <c r="B51" i="98" s="1"/>
  <c r="B52" i="98" s="1"/>
  <c r="B53" i="98" s="1"/>
  <c r="B54" i="98" s="1"/>
  <c r="E48" i="98"/>
  <c r="H48" i="98" s="1"/>
  <c r="E45" i="98"/>
  <c r="H45" i="98" s="1"/>
  <c r="E44" i="98"/>
  <c r="E43" i="98"/>
  <c r="H43" i="98" s="1"/>
  <c r="E42" i="98"/>
  <c r="H42" i="98" s="1"/>
  <c r="E41" i="98"/>
  <c r="H41" i="98" s="1"/>
  <c r="E40" i="98"/>
  <c r="E39" i="98"/>
  <c r="H39" i="98" s="1"/>
  <c r="E38" i="98"/>
  <c r="H38" i="98" s="1"/>
  <c r="E37" i="98"/>
  <c r="H37" i="98" s="1"/>
  <c r="E34" i="98"/>
  <c r="H34" i="98" s="1"/>
  <c r="E33" i="98"/>
  <c r="E32" i="98"/>
  <c r="B32" i="98"/>
  <c r="B33" i="98" s="1"/>
  <c r="B34" i="98" s="1"/>
  <c r="E31" i="98"/>
  <c r="H31" i="98" s="1"/>
  <c r="E29" i="98"/>
  <c r="E28" i="98"/>
  <c r="H28" i="98" s="1"/>
  <c r="C28" i="98"/>
  <c r="C29" i="98" s="1"/>
  <c r="C31" i="98" s="1"/>
  <c r="C32" i="98" s="1"/>
  <c r="C33" i="98" s="1"/>
  <c r="C34" i="98" s="1"/>
  <c r="B28" i="98"/>
  <c r="B29" i="98" s="1"/>
  <c r="E27" i="98"/>
  <c r="H27" i="98" s="1"/>
  <c r="G21" i="98"/>
  <c r="G20" i="98"/>
  <c r="G19" i="98"/>
  <c r="G18" i="98"/>
  <c r="G16" i="98"/>
  <c r="G15" i="98"/>
  <c r="G14" i="98"/>
  <c r="A11" i="98"/>
  <c r="A12" i="98" s="1"/>
  <c r="A13" i="98" s="1"/>
  <c r="A14" i="98" s="1"/>
  <c r="A15" i="98" s="1"/>
  <c r="A16" i="98" s="1"/>
  <c r="A17" i="98" s="1"/>
  <c r="A18" i="98" s="1"/>
  <c r="A19" i="98" s="1"/>
  <c r="A20" i="98" s="1"/>
  <c r="A21" i="98" s="1"/>
  <c r="A22" i="98" s="1"/>
  <c r="A23" i="98" s="1"/>
  <c r="A26" i="98" s="1"/>
  <c r="A27" i="98" s="1"/>
  <c r="A28" i="98" s="1"/>
  <c r="A29" i="98" s="1"/>
  <c r="A30" i="98" l="1"/>
  <c r="A31" i="98" s="1"/>
  <c r="A32" i="98" s="1"/>
  <c r="A33" i="98" s="1"/>
  <c r="A34" i="98" s="1"/>
  <c r="A35" i="98" s="1"/>
  <c r="A36" i="98" s="1"/>
  <c r="A37" i="98" s="1"/>
  <c r="A38" i="98" s="1"/>
  <c r="A39" i="98" s="1"/>
  <c r="A40" i="98" s="1"/>
  <c r="A41" i="98" s="1"/>
  <c r="A42" i="98" s="1"/>
  <c r="A43" i="98" s="1"/>
  <c r="A44" i="98" s="1"/>
  <c r="A45" i="98" s="1"/>
  <c r="A46" i="98" s="1"/>
  <c r="A47" i="98" s="1"/>
  <c r="A48" i="98" s="1"/>
  <c r="A49" i="98" s="1"/>
  <c r="A50" i="98" s="1"/>
  <c r="A51" i="98" s="1"/>
  <c r="A52" i="98" s="1"/>
  <c r="A53" i="98" s="1"/>
  <c r="A54" i="98" s="1"/>
  <c r="A55" i="98" s="1"/>
  <c r="A56" i="98" s="1"/>
  <c r="A57" i="98" s="1"/>
  <c r="A58" i="98" s="1"/>
  <c r="A59" i="98" s="1"/>
  <c r="A60" i="98" s="1"/>
  <c r="A61" i="98" s="1"/>
  <c r="A62" i="98" s="1"/>
  <c r="A63" i="98" s="1"/>
  <c r="A64" i="98" s="1"/>
  <c r="A65" i="98" s="1"/>
  <c r="A66" i="98" s="1"/>
  <c r="A67" i="98" s="1"/>
  <c r="A68" i="98" s="1"/>
  <c r="A69" i="98" s="1"/>
  <c r="A70" i="98" s="1"/>
  <c r="A71" i="98" s="1"/>
  <c r="A72" i="98" s="1"/>
  <c r="A73" i="98" s="1"/>
  <c r="A74" i="98" s="1"/>
  <c r="A75" i="98" s="1"/>
  <c r="A76" i="98" s="1"/>
  <c r="A77" i="98" s="1"/>
  <c r="A78" i="98" s="1"/>
  <c r="A79" i="98" s="1"/>
  <c r="A80" i="98" s="1"/>
  <c r="A81" i="98" s="1"/>
  <c r="A82" i="98" s="1"/>
  <c r="A83" i="98" s="1"/>
  <c r="A84" i="98" s="1"/>
  <c r="A85" i="98" s="1"/>
  <c r="A86" i="98" s="1"/>
  <c r="A87" i="98" s="1"/>
  <c r="A88" i="98" s="1"/>
  <c r="A89" i="98" s="1"/>
  <c r="A90" i="98" s="1"/>
  <c r="A91" i="98" s="1"/>
  <c r="A92" i="98" s="1"/>
  <c r="A93" i="98" s="1"/>
  <c r="A94" i="98" s="1"/>
  <c r="A95" i="98" s="1"/>
  <c r="A96" i="98" s="1"/>
  <c r="A97" i="98" s="1"/>
  <c r="A98" i="98" s="1"/>
  <c r="A99" i="98" s="1"/>
  <c r="A100" i="98" s="1"/>
  <c r="A101" i="98" s="1"/>
  <c r="A102" i="98" s="1"/>
  <c r="A103" i="98" s="1"/>
  <c r="A104" i="98" s="1"/>
  <c r="A105" i="98" s="1"/>
  <c r="A106" i="98" s="1"/>
  <c r="A107" i="98" s="1"/>
  <c r="A108" i="98" s="1"/>
  <c r="A109" i="98" s="1"/>
  <c r="A110" i="98" s="1"/>
  <c r="A111" i="98" s="1"/>
  <c r="A112" i="98" s="1"/>
  <c r="A113" i="98" s="1"/>
  <c r="A114" i="98" s="1"/>
  <c r="A115" i="98" s="1"/>
  <c r="A116" i="98" s="1"/>
  <c r="A117" i="98" s="1"/>
  <c r="A118" i="98" s="1"/>
  <c r="A119" i="98" s="1"/>
  <c r="A120" i="98" s="1"/>
  <c r="A121" i="98" s="1"/>
  <c r="A122" i="98" s="1"/>
  <c r="A123" i="98" s="1"/>
  <c r="A124" i="98" s="1"/>
  <c r="A125" i="98" s="1"/>
  <c r="A126" i="98" s="1"/>
  <c r="A127" i="98" s="1"/>
  <c r="A128" i="98" s="1"/>
  <c r="A129" i="98" s="1"/>
  <c r="B177" i="98"/>
  <c r="B178" i="98" s="1"/>
  <c r="B179" i="98" s="1"/>
  <c r="B180" i="98" s="1"/>
  <c r="H50" i="98"/>
  <c r="H33" i="98"/>
  <c r="H40" i="98"/>
  <c r="B57" i="98"/>
  <c r="B58" i="98"/>
  <c r="H125" i="98"/>
  <c r="H153" i="98"/>
  <c r="H32" i="98"/>
  <c r="H44" i="98"/>
  <c r="H51" i="98"/>
  <c r="H157" i="98"/>
  <c r="H29" i="98"/>
  <c r="H144" i="98"/>
  <c r="H175" i="98"/>
  <c r="H191" i="98"/>
  <c r="B55" i="98"/>
  <c r="B60" i="98" s="1"/>
  <c r="B61" i="98" s="1"/>
  <c r="B62" i="98" s="1"/>
  <c r="B63" i="98" s="1"/>
  <c r="B59" i="98"/>
  <c r="H122" i="98"/>
  <c r="H165" i="98"/>
  <c r="H121" i="98"/>
  <c r="H131" i="98"/>
  <c r="H138" i="98"/>
  <c r="H52" i="98"/>
  <c r="H63" i="98"/>
  <c r="H150" i="98"/>
  <c r="H154" i="98"/>
  <c r="H158" i="98"/>
  <c r="H189" i="98"/>
  <c r="H193" i="98"/>
  <c r="H137" i="98"/>
  <c r="H156" i="98"/>
  <c r="H167" i="98"/>
  <c r="H168" i="98"/>
  <c r="H174" i="98"/>
  <c r="H180" i="98"/>
  <c r="H197" i="98"/>
  <c r="H199" i="98"/>
  <c r="H185" i="98"/>
  <c r="A130" i="98" l="1"/>
  <c r="A131" i="98" s="1"/>
  <c r="A132" i="98" s="1"/>
  <c r="A133" i="98" s="1"/>
  <c r="A134" i="98" s="1"/>
  <c r="A135" i="98" s="1"/>
  <c r="A136" i="98" s="1"/>
  <c r="A137" i="98" s="1"/>
  <c r="A138" i="98" s="1"/>
  <c r="A139" i="98" s="1"/>
  <c r="A140" i="98" s="1"/>
  <c r="A141" i="98" s="1"/>
  <c r="A142" i="98" s="1"/>
  <c r="A143" i="98" s="1"/>
  <c r="A144" i="98" s="1"/>
  <c r="A145" i="98" s="1"/>
  <c r="A146" i="98" s="1"/>
  <c r="A147" i="98" s="1"/>
  <c r="A148" i="98" s="1"/>
  <c r="A149" i="98" s="1"/>
  <c r="A150" i="98" s="1"/>
  <c r="A151" i="98" s="1"/>
  <c r="A152" i="98" s="1"/>
  <c r="A153" i="98" s="1"/>
  <c r="A154" i="98" s="1"/>
  <c r="A155" i="98" s="1"/>
  <c r="A156" i="98" s="1"/>
  <c r="A157" i="98" s="1"/>
  <c r="A158" i="98" s="1"/>
  <c r="A159" i="98" s="1"/>
  <c r="A160" i="98" s="1"/>
  <c r="A161" i="98" s="1"/>
  <c r="A162" i="98" s="1"/>
  <c r="A163" i="98" s="1"/>
  <c r="A164" i="98" s="1"/>
  <c r="A165" i="98" s="1"/>
  <c r="A166" i="98" s="1"/>
  <c r="A167" i="98" s="1"/>
  <c r="A168" i="98" s="1"/>
  <c r="A169" i="98" s="1"/>
  <c r="A170" i="98" s="1"/>
  <c r="A171" i="98" s="1"/>
  <c r="A172" i="98" s="1"/>
  <c r="A173" i="98" s="1"/>
  <c r="A174" i="98" s="1"/>
  <c r="A175" i="98" s="1"/>
  <c r="A176" i="98" s="1"/>
  <c r="A177" i="98" s="1"/>
  <c r="A178" i="98" s="1"/>
  <c r="A179" i="98" s="1"/>
  <c r="A180" i="98" s="1"/>
  <c r="A181" i="98" s="1"/>
  <c r="A182" i="98" s="1"/>
  <c r="A183" i="98" s="1"/>
  <c r="H16" i="98"/>
  <c r="H21" i="98"/>
  <c r="H19" i="98"/>
  <c r="H15" i="98"/>
  <c r="H14" i="98"/>
  <c r="H18" i="98"/>
  <c r="A184" i="98" l="1"/>
  <c r="A185" i="98" s="1"/>
  <c r="A186" i="98" s="1"/>
  <c r="A187" i="98" s="1"/>
  <c r="A188" i="98" s="1"/>
  <c r="A189" i="98" s="1"/>
  <c r="A190" i="98" s="1"/>
  <c r="A191" i="98" s="1"/>
  <c r="A192" i="98" s="1"/>
  <c r="A193" i="98" s="1"/>
  <c r="A194" i="98" s="1"/>
  <c r="A195" i="98" s="1"/>
  <c r="A196" i="98" s="1"/>
  <c r="A197" i="98" s="1"/>
  <c r="A198" i="98" s="1"/>
  <c r="A199" i="98" s="1"/>
  <c r="F19" i="33"/>
  <c r="F18" i="33"/>
  <c r="F17" i="33"/>
  <c r="F13" i="33"/>
  <c r="F12" i="33"/>
  <c r="F11" i="33"/>
  <c r="F10" i="33"/>
  <c r="F8" i="33"/>
  <c r="E52" i="105" s="1"/>
  <c r="E55" i="105" s="1"/>
  <c r="E57" i="105" l="1"/>
  <c r="E58" i="105"/>
  <c r="E7" i="105" s="1"/>
  <c r="K5" i="72"/>
  <c r="E23" i="105" l="1"/>
  <c r="E18" i="105"/>
  <c r="E14" i="105"/>
  <c r="E9" i="105"/>
  <c r="E15" i="105"/>
  <c r="E10" i="105"/>
  <c r="E16" i="105"/>
  <c r="E13" i="105"/>
  <c r="E8" i="105"/>
  <c r="E12" i="105"/>
  <c r="E17" i="105"/>
  <c r="E11" i="105"/>
  <c r="E22" i="105"/>
  <c r="D23" i="105"/>
  <c r="F23" i="105" s="1"/>
  <c r="D9" i="105"/>
  <c r="D12" i="105"/>
  <c r="D13" i="105"/>
  <c r="D16" i="105"/>
  <c r="D10" i="105"/>
  <c r="D17" i="105"/>
  <c r="D18" i="105"/>
  <c r="F18" i="105" s="1"/>
  <c r="D14" i="105"/>
  <c r="D7" i="105"/>
  <c r="D8" i="105"/>
  <c r="D11" i="105"/>
  <c r="D15" i="105"/>
  <c r="D22" i="105"/>
  <c r="A8" i="72"/>
  <c r="A9" i="72" s="1"/>
  <c r="A10" i="72" s="1"/>
  <c r="A11" i="72" s="1"/>
  <c r="A12" i="72" s="1"/>
  <c r="A13" i="72" s="1"/>
  <c r="A14" i="72" s="1"/>
  <c r="A15" i="72" s="1"/>
  <c r="A16" i="72" s="1"/>
  <c r="A17" i="72" s="1"/>
  <c r="A19" i="72" s="1"/>
  <c r="A20" i="72" s="1"/>
  <c r="A21" i="72" s="1"/>
  <c r="A22" i="72" s="1"/>
  <c r="A23" i="72" s="1"/>
  <c r="A24" i="72" s="1"/>
  <c r="A25" i="72" s="1"/>
  <c r="A26" i="72" s="1"/>
  <c r="A27" i="72" s="1"/>
  <c r="A28" i="72" s="1"/>
  <c r="A29" i="72" s="1"/>
  <c r="A30" i="72" s="1"/>
  <c r="A31" i="72" s="1"/>
  <c r="A9" i="33"/>
  <c r="A10" i="33" s="1"/>
  <c r="A11" i="33" s="1"/>
  <c r="A12" i="33" s="1"/>
  <c r="A13" i="33" s="1"/>
  <c r="A14" i="33" s="1"/>
  <c r="A15" i="33" s="1"/>
  <c r="A16" i="33" s="1"/>
  <c r="A17" i="33" s="1"/>
  <c r="A18" i="33" s="1"/>
  <c r="A19" i="33" s="1"/>
  <c r="A20" i="33" s="1"/>
  <c r="A21" i="33" s="1"/>
  <c r="A22" i="33" s="1"/>
  <c r="A24" i="33" s="1"/>
  <c r="A25" i="33" s="1"/>
  <c r="A26" i="33" s="1"/>
  <c r="A27" i="33" s="1"/>
  <c r="A28" i="33" s="1"/>
  <c r="A29" i="33" s="1"/>
  <c r="A30" i="33" s="1"/>
  <c r="A31" i="33" s="1"/>
  <c r="A32" i="33" s="1"/>
  <c r="A33" i="33" s="1"/>
  <c r="A34" i="33" s="1"/>
  <c r="A35" i="33" s="1"/>
  <c r="A36" i="33" s="1"/>
  <c r="A37" i="33" s="1"/>
  <c r="F12" i="105" l="1"/>
  <c r="F14" i="105"/>
  <c r="F13" i="105"/>
  <c r="F11" i="105"/>
  <c r="F10" i="105"/>
  <c r="F16" i="105"/>
  <c r="F22" i="105"/>
  <c r="F17" i="105"/>
  <c r="F7" i="105"/>
  <c r="D20" i="105"/>
  <c r="F15" i="105"/>
  <c r="E20" i="105"/>
  <c r="F9" i="105"/>
  <c r="F8" i="105"/>
  <c r="G23" i="72"/>
  <c r="G19" i="72"/>
  <c r="G15" i="72"/>
  <c r="G12" i="72"/>
  <c r="G10" i="72"/>
  <c r="G21" i="72"/>
  <c r="G18" i="72"/>
  <c r="G16" i="72"/>
  <c r="G14" i="72"/>
  <c r="G11" i="72"/>
  <c r="G9" i="72"/>
  <c r="E18" i="72"/>
  <c r="E23" i="72"/>
  <c r="E19" i="72"/>
  <c r="E15" i="72"/>
  <c r="E12" i="72"/>
  <c r="E10" i="72"/>
  <c r="E21" i="72"/>
  <c r="E16" i="72"/>
  <c r="E14" i="72"/>
  <c r="E11" i="72"/>
  <c r="E9" i="72"/>
  <c r="F20" i="105" l="1"/>
  <c r="H9" i="72"/>
  <c r="J9" i="72" s="1"/>
  <c r="H21" i="72"/>
  <c r="J21" i="72" s="1"/>
  <c r="I11" i="98" s="1"/>
  <c r="H15" i="72"/>
  <c r="J15" i="72" s="1"/>
  <c r="H18" i="72"/>
  <c r="J18" i="72" s="1"/>
  <c r="H14" i="72"/>
  <c r="J14" i="72" s="1"/>
  <c r="H10" i="72"/>
  <c r="J10" i="72" s="1"/>
  <c r="H19" i="72"/>
  <c r="J19" i="72" s="1"/>
  <c r="H11" i="72"/>
  <c r="J11" i="72" s="1"/>
  <c r="H16" i="72"/>
  <c r="J16" i="72" s="1"/>
  <c r="H12" i="72"/>
  <c r="J12" i="72" s="1"/>
  <c r="H23" i="72"/>
  <c r="J23" i="72" s="1"/>
  <c r="G25" i="72"/>
  <c r="H25" i="72" l="1"/>
  <c r="J25" i="72" l="1"/>
  <c r="H84" i="98" l="1"/>
  <c r="H92" i="98"/>
  <c r="H100" i="98"/>
  <c r="H116" i="98"/>
  <c r="H102" i="98"/>
  <c r="H73" i="98"/>
  <c r="H68" i="98"/>
  <c r="H71" i="98"/>
  <c r="H83" i="98"/>
  <c r="H109" i="98"/>
  <c r="H113" i="98"/>
  <c r="H117" i="98"/>
  <c r="H88" i="98"/>
  <c r="H103" i="98"/>
  <c r="H114" i="98"/>
  <c r="H79" i="98"/>
  <c r="H107" i="98"/>
  <c r="H82" i="98"/>
  <c r="H106" i="98"/>
  <c r="H85" i="98"/>
  <c r="H94" i="98"/>
  <c r="H98" i="98"/>
  <c r="H110" i="98"/>
  <c r="H72" i="98"/>
  <c r="H93" i="98"/>
  <c r="H104" i="98"/>
  <c r="H76" i="98"/>
  <c r="H78" i="98"/>
  <c r="H67" i="98"/>
  <c r="H89" i="98"/>
  <c r="H96" i="98"/>
  <c r="H112" i="98"/>
  <c r="H80" i="98"/>
  <c r="H74" i="98"/>
  <c r="H70" i="98"/>
  <c r="H87" i="98"/>
  <c r="H69" i="98"/>
  <c r="H90" i="98"/>
  <c r="H86" i="98"/>
  <c r="H95" i="98"/>
  <c r="H99" i="98"/>
  <c r="H111" i="98"/>
  <c r="H115" i="98"/>
  <c r="H77" i="98"/>
  <c r="H97" i="98"/>
  <c r="H105" i="98"/>
  <c r="G17" i="98" l="1"/>
  <c r="H66" i="98"/>
  <c r="G22" i="98" l="1"/>
  <c r="H10" i="98"/>
  <c r="J11" i="98" s="1"/>
  <c r="J10" i="98" s="1"/>
  <c r="H17" i="98"/>
  <c r="H22" i="98" s="1"/>
  <c r="F69" i="98" l="1"/>
  <c r="F25" i="98"/>
  <c r="F190" i="98"/>
  <c r="I190" i="98" s="1"/>
  <c r="F68" i="98"/>
  <c r="I68" i="98" s="1"/>
  <c r="F192" i="98"/>
  <c r="I192" i="98" s="1"/>
  <c r="F80" i="98"/>
  <c r="I80" i="98" s="1"/>
  <c r="F168" i="98"/>
  <c r="I168" i="98" s="1"/>
  <c r="F57" i="98"/>
  <c r="I57" i="98" s="1"/>
  <c r="F152" i="98"/>
  <c r="I152" i="98" s="1"/>
  <c r="F29" i="98"/>
  <c r="I29" i="98" s="1"/>
  <c r="F62" i="98"/>
  <c r="I62" i="98" s="1"/>
  <c r="F158" i="98"/>
  <c r="I158" i="98" s="1"/>
  <c r="F39" i="98"/>
  <c r="I39" i="98" s="1"/>
  <c r="F164" i="98"/>
  <c r="I164" i="98" s="1"/>
  <c r="I69" i="98"/>
  <c r="F37" i="98"/>
  <c r="I37" i="98" s="1"/>
  <c r="F132" i="98"/>
  <c r="I132" i="98" s="1"/>
  <c r="F196" i="98"/>
  <c r="I196" i="98" s="1"/>
  <c r="F40" i="98"/>
  <c r="I40" i="98" s="1"/>
  <c r="F92" i="98"/>
  <c r="I92" i="98" s="1"/>
  <c r="F98" i="98"/>
  <c r="I98" i="98" s="1"/>
  <c r="F128" i="98"/>
  <c r="I128" i="98" s="1"/>
  <c r="F106" i="98"/>
  <c r="I106" i="98" s="1"/>
  <c r="F114" i="98"/>
  <c r="I114" i="98" s="1"/>
  <c r="F141" i="98"/>
  <c r="I141" i="98" s="1"/>
  <c r="F156" i="98"/>
  <c r="I156" i="98" s="1"/>
  <c r="F171" i="98"/>
  <c r="I171" i="98" s="1"/>
  <c r="F161" i="98"/>
  <c r="I161" i="98" s="1"/>
  <c r="I20" i="98" s="1"/>
  <c r="F127" i="98"/>
  <c r="I127" i="98" s="1"/>
  <c r="F78" i="98"/>
  <c r="I78" i="98" s="1"/>
  <c r="F110" i="98"/>
  <c r="I110" i="98" s="1"/>
  <c r="F87" i="98"/>
  <c r="I87" i="98" s="1"/>
  <c r="F117" i="98"/>
  <c r="I117" i="98" s="1"/>
  <c r="F84" i="98"/>
  <c r="I84" i="98" s="1"/>
  <c r="F180" i="98"/>
  <c r="I180" i="98" s="1"/>
  <c r="F172" i="98"/>
  <c r="I172" i="98" s="1"/>
  <c r="F79" i="98"/>
  <c r="I79" i="98" s="1"/>
  <c r="F157" i="98"/>
  <c r="I157" i="98" s="1"/>
  <c r="F89" i="98"/>
  <c r="I89" i="98" s="1"/>
  <c r="F70" i="98"/>
  <c r="I70" i="98" s="1"/>
  <c r="F135" i="98"/>
  <c r="I135" i="98" s="1"/>
  <c r="F138" i="98"/>
  <c r="I138" i="98" s="1"/>
  <c r="F31" i="98"/>
  <c r="I31" i="98" s="1"/>
  <c r="F198" i="98"/>
  <c r="I198" i="98" s="1"/>
  <c r="F74" i="98"/>
  <c r="I74" i="98" s="1"/>
  <c r="F77" i="98"/>
  <c r="I77" i="98" s="1"/>
  <c r="F134" i="98"/>
  <c r="I134" i="98" s="1"/>
  <c r="F76" i="98"/>
  <c r="I76" i="98" s="1"/>
  <c r="F38" i="98"/>
  <c r="I38" i="98" s="1"/>
  <c r="F123" i="98"/>
  <c r="I123" i="98" s="1"/>
  <c r="F165" i="98"/>
  <c r="I165" i="98" s="1"/>
  <c r="F32" i="98"/>
  <c r="I32" i="98" s="1"/>
  <c r="F177" i="98"/>
  <c r="I177" i="98" s="1"/>
  <c r="F41" i="98"/>
  <c r="I41" i="98" s="1"/>
  <c r="F85" i="98"/>
  <c r="I85" i="98" s="1"/>
  <c r="F193" i="98"/>
  <c r="I193" i="98" s="1"/>
  <c r="F104" i="98"/>
  <c r="I104" i="98" s="1"/>
  <c r="F169" i="98"/>
  <c r="I169" i="98" s="1"/>
  <c r="F96" i="98"/>
  <c r="I96" i="98" s="1"/>
  <c r="F95" i="98"/>
  <c r="I95" i="98" s="1"/>
  <c r="F52" i="98"/>
  <c r="I52" i="98" s="1"/>
  <c r="F175" i="98"/>
  <c r="I175" i="98" s="1"/>
  <c r="F97" i="98"/>
  <c r="I97" i="98" s="1"/>
  <c r="F102" i="98"/>
  <c r="I102" i="98" s="1"/>
  <c r="F45" i="98"/>
  <c r="I45" i="98" s="1"/>
  <c r="F50" i="98"/>
  <c r="I50" i="98" s="1"/>
  <c r="F178" i="98"/>
  <c r="I178" i="98" s="1"/>
  <c r="F182" i="98"/>
  <c r="I182" i="98" s="1"/>
  <c r="F51" i="98"/>
  <c r="I51" i="98" s="1"/>
  <c r="F195" i="98"/>
  <c r="I195" i="98" s="1"/>
  <c r="F122" i="98"/>
  <c r="I122" i="98" s="1"/>
  <c r="F59" i="98"/>
  <c r="I59" i="98" s="1"/>
  <c r="F146" i="98"/>
  <c r="I146" i="98" s="1"/>
  <c r="F188" i="98"/>
  <c r="I188" i="98" s="1"/>
  <c r="F166" i="98"/>
  <c r="I166" i="98" s="1"/>
  <c r="F103" i="98"/>
  <c r="I103" i="98" s="1"/>
  <c r="F100" i="98"/>
  <c r="I100" i="98" s="1"/>
  <c r="F185" i="98"/>
  <c r="I185" i="98" s="1"/>
  <c r="F191" i="98"/>
  <c r="I191" i="98" s="1"/>
  <c r="F116" i="98"/>
  <c r="I116" i="98" s="1"/>
  <c r="F150" i="98"/>
  <c r="I150" i="98" s="1"/>
  <c r="F112" i="98"/>
  <c r="I112" i="98" s="1"/>
  <c r="F197" i="98"/>
  <c r="I197" i="98" s="1"/>
  <c r="F109" i="98"/>
  <c r="I109" i="98" s="1"/>
  <c r="F94" i="98"/>
  <c r="I94" i="98" s="1"/>
  <c r="F137" i="98"/>
  <c r="I137" i="98" s="1"/>
  <c r="F148" i="98"/>
  <c r="I148" i="98" s="1"/>
  <c r="F58" i="98"/>
  <c r="I58" i="98" s="1"/>
  <c r="F66" i="98"/>
  <c r="I66" i="98" s="1"/>
  <c r="F88" i="98"/>
  <c r="I88" i="98" s="1"/>
  <c r="F43" i="98"/>
  <c r="I43" i="98" s="1"/>
  <c r="F67" i="98"/>
  <c r="I67" i="98" s="1"/>
  <c r="F143" i="98"/>
  <c r="I143" i="98" s="1"/>
  <c r="F90" i="98"/>
  <c r="I90" i="98" s="1"/>
  <c r="F99" i="98"/>
  <c r="I99" i="98" s="1"/>
  <c r="F73" i="98"/>
  <c r="I73" i="98" s="1"/>
  <c r="F72" i="98"/>
  <c r="I72" i="98" s="1"/>
  <c r="F155" i="98"/>
  <c r="I155" i="98" s="1"/>
  <c r="F136" i="98"/>
  <c r="I136" i="98" s="1"/>
  <c r="I25" i="98"/>
  <c r="F174" i="98"/>
  <c r="I174" i="98" s="1"/>
  <c r="F125" i="98"/>
  <c r="I125" i="98" s="1"/>
  <c r="F115" i="98"/>
  <c r="I115" i="98" s="1"/>
  <c r="F183" i="98"/>
  <c r="I183" i="98" s="1"/>
  <c r="F179" i="98"/>
  <c r="I179" i="98" s="1"/>
  <c r="F34" i="98"/>
  <c r="I34" i="98" s="1"/>
  <c r="F130" i="98"/>
  <c r="I130" i="98" s="1"/>
  <c r="F187" i="98"/>
  <c r="I187" i="98" s="1"/>
  <c r="F153" i="98"/>
  <c r="I153" i="98" s="1"/>
  <c r="F48" i="98"/>
  <c r="I48" i="98" s="1"/>
  <c r="F167" i="98"/>
  <c r="I167" i="98" s="1"/>
  <c r="F173" i="98"/>
  <c r="I173" i="98" s="1"/>
  <c r="F154" i="98"/>
  <c r="I154" i="98" s="1"/>
  <c r="F44" i="98"/>
  <c r="I44" i="98" s="1"/>
  <c r="F53" i="98"/>
  <c r="I53" i="98" s="1"/>
  <c r="F111" i="98"/>
  <c r="I111" i="98" s="1"/>
  <c r="F93" i="98"/>
  <c r="I93" i="98" s="1"/>
  <c r="F55" i="98"/>
  <c r="I55" i="98" s="1"/>
  <c r="F186" i="98"/>
  <c r="I186" i="98" s="1"/>
  <c r="F142" i="98"/>
  <c r="I142" i="98" s="1"/>
  <c r="F71" i="98"/>
  <c r="I71" i="98" s="1"/>
  <c r="F151" i="98"/>
  <c r="I151" i="98" s="1"/>
  <c r="F133" i="98"/>
  <c r="I133" i="98" s="1"/>
  <c r="F105" i="98"/>
  <c r="I105" i="98" s="1"/>
  <c r="F107" i="98"/>
  <c r="I107" i="98" s="1"/>
  <c r="F33" i="98"/>
  <c r="I33" i="98" s="1"/>
  <c r="F42" i="98"/>
  <c r="I42" i="98" s="1"/>
  <c r="F49" i="98"/>
  <c r="I49" i="98" s="1"/>
  <c r="F124" i="98"/>
  <c r="I124" i="98" s="1"/>
  <c r="F126" i="98"/>
  <c r="I126" i="98" s="1"/>
  <c r="F194" i="98"/>
  <c r="I194" i="98" s="1"/>
  <c r="F60" i="98"/>
  <c r="I60" i="98" s="1"/>
  <c r="F63" i="98"/>
  <c r="I63" i="98" s="1"/>
  <c r="F27" i="98"/>
  <c r="I27" i="98" s="1"/>
  <c r="F83" i="98"/>
  <c r="I83" i="98" s="1"/>
  <c r="F199" i="98"/>
  <c r="I199" i="98" s="1"/>
  <c r="F121" i="98"/>
  <c r="I121" i="98" s="1"/>
  <c r="F61" i="98"/>
  <c r="I61" i="98" s="1"/>
  <c r="F189" i="98"/>
  <c r="I189" i="98" s="1"/>
  <c r="F145" i="98"/>
  <c r="I145" i="98" s="1"/>
  <c r="F82" i="98"/>
  <c r="I82" i="98" s="1"/>
  <c r="F120" i="98"/>
  <c r="I120" i="98" s="1"/>
  <c r="F113" i="98"/>
  <c r="I113" i="98" s="1"/>
  <c r="F144" i="98"/>
  <c r="I144" i="98" s="1"/>
  <c r="F54" i="98"/>
  <c r="I54" i="98" s="1"/>
  <c r="F28" i="98"/>
  <c r="I28" i="98" s="1"/>
  <c r="F86" i="98"/>
  <c r="I86" i="98" s="1"/>
  <c r="F131" i="98"/>
  <c r="I131" i="98" s="1"/>
  <c r="I17" i="98" l="1"/>
  <c r="I19" i="98"/>
  <c r="I18" i="98"/>
  <c r="I21" i="98"/>
  <c r="I14" i="98"/>
  <c r="I10" i="98"/>
  <c r="I12" i="98" s="1"/>
  <c r="I15" i="98"/>
  <c r="I16" i="98"/>
  <c r="I22" i="98" l="1"/>
  <c r="D35" i="33" l="1"/>
  <c r="K27" i="72"/>
  <c r="M25" i="83" l="1"/>
  <c r="L25" i="83" l="1"/>
  <c r="G25" i="83"/>
  <c r="N25" i="83"/>
  <c r="O25" i="83"/>
  <c r="E25" i="83" l="1"/>
  <c r="G10" i="83" l="1"/>
  <c r="C21" i="83" l="1"/>
  <c r="K14" i="72"/>
  <c r="L14" i="72" s="1"/>
  <c r="G17" i="33" s="1"/>
  <c r="D17" i="33"/>
  <c r="E21" i="83"/>
  <c r="K18" i="72"/>
  <c r="L18" i="72" s="1"/>
  <c r="G23" i="33" s="1"/>
  <c r="D23" i="33"/>
  <c r="C25" i="83"/>
  <c r="D19" i="33"/>
  <c r="K16" i="72"/>
  <c r="L16" i="72" s="1"/>
  <c r="G19" i="33" s="1"/>
  <c r="D8" i="33"/>
  <c r="C10" i="83"/>
  <c r="K7" i="72"/>
  <c r="K15" i="72"/>
  <c r="L15" i="72" s="1"/>
  <c r="G18" i="33" s="1"/>
  <c r="D18" i="33"/>
  <c r="D28" i="33"/>
  <c r="K21" i="72"/>
  <c r="L21" i="72" s="1"/>
  <c r="G28" i="33" s="1"/>
  <c r="E10" i="83"/>
  <c r="K19" i="72"/>
  <c r="L19" i="72" s="1"/>
  <c r="G24" i="33" s="1"/>
  <c r="D24" i="33"/>
  <c r="D30" i="33"/>
  <c r="K23" i="72"/>
  <c r="L23" i="72" s="1"/>
  <c r="G30" i="33" s="1"/>
  <c r="D13" i="33"/>
  <c r="K12" i="72"/>
  <c r="L12" i="72" s="1"/>
  <c r="G13" i="33" s="1"/>
  <c r="O10" i="83"/>
  <c r="L10" i="83"/>
  <c r="M21" i="83"/>
  <c r="L21" i="83" l="1"/>
  <c r="D26" i="33"/>
  <c r="F26" i="33"/>
  <c r="G26" i="33"/>
  <c r="D21" i="33"/>
  <c r="F21" i="33"/>
  <c r="G21" i="33"/>
  <c r="O21" i="83"/>
  <c r="L7" i="72"/>
  <c r="G8" i="33" s="1"/>
  <c r="M10" i="83"/>
  <c r="P10" i="83"/>
  <c r="G21" i="83"/>
  <c r="P25" i="83"/>
  <c r="P21" i="83" l="1"/>
  <c r="F52" i="105"/>
  <c r="F55" i="105" s="1"/>
  <c r="F57" i="105" l="1"/>
  <c r="F58" i="105"/>
  <c r="J13" i="105" l="1"/>
  <c r="J7" i="105"/>
  <c r="J14" i="105"/>
  <c r="J10" i="105"/>
  <c r="J16" i="105"/>
  <c r="J18" i="105"/>
  <c r="J22" i="105"/>
  <c r="J17" i="105"/>
  <c r="K17" i="105" s="1"/>
  <c r="L17" i="105" s="1"/>
  <c r="M17" i="105" s="1"/>
  <c r="J23" i="105"/>
  <c r="K23" i="105" s="1"/>
  <c r="L23" i="105" s="1"/>
  <c r="M23" i="105" s="1"/>
  <c r="J9" i="105"/>
  <c r="J12" i="105"/>
  <c r="J8" i="105"/>
  <c r="K8" i="105" s="1"/>
  <c r="L8" i="105" s="1"/>
  <c r="M8" i="105" s="1"/>
  <c r="J15" i="105"/>
  <c r="J11" i="105"/>
  <c r="I18" i="105"/>
  <c r="I23" i="105"/>
  <c r="I10" i="105"/>
  <c r="K10" i="105" s="1"/>
  <c r="L10" i="105" s="1"/>
  <c r="M10" i="105" s="1"/>
  <c r="I11" i="105"/>
  <c r="I16" i="105"/>
  <c r="K16" i="105" s="1"/>
  <c r="L16" i="105" s="1"/>
  <c r="M16" i="105" s="1"/>
  <c r="I14" i="105"/>
  <c r="K14" i="105" s="1"/>
  <c r="L14" i="105" s="1"/>
  <c r="M14" i="105" s="1"/>
  <c r="I13" i="105"/>
  <c r="K13" i="105" s="1"/>
  <c r="L13" i="105" s="1"/>
  <c r="M13" i="105" s="1"/>
  <c r="I7" i="105"/>
  <c r="I15" i="105"/>
  <c r="K15" i="105" s="1"/>
  <c r="L15" i="105" s="1"/>
  <c r="M15" i="105" s="1"/>
  <c r="I12" i="105"/>
  <c r="K12" i="105" s="1"/>
  <c r="L12" i="105" s="1"/>
  <c r="M12" i="105" s="1"/>
  <c r="I8" i="105"/>
  <c r="I22" i="105"/>
  <c r="I17" i="105"/>
  <c r="I9" i="105"/>
  <c r="I20" i="105" l="1"/>
  <c r="K7" i="105"/>
  <c r="K18" i="105"/>
  <c r="L18" i="105" s="1"/>
  <c r="M18" i="105" s="1"/>
  <c r="K9" i="105"/>
  <c r="L9" i="105" s="1"/>
  <c r="M9" i="105" s="1"/>
  <c r="K11" i="105"/>
  <c r="L11" i="105" s="1"/>
  <c r="M11" i="105" s="1"/>
  <c r="J20" i="105"/>
  <c r="K22" i="105"/>
  <c r="L22" i="105" s="1"/>
  <c r="M22" i="105" s="1"/>
  <c r="L7" i="105" l="1"/>
  <c r="M7" i="105" s="1"/>
  <c r="K20" i="105"/>
  <c r="L20" i="105" s="1"/>
  <c r="M20" i="105" s="1"/>
  <c r="D12" i="33" l="1"/>
  <c r="K11" i="72"/>
  <c r="L11" i="72" s="1"/>
  <c r="G12" i="33" s="1"/>
  <c r="D11" i="33" l="1"/>
  <c r="K10" i="72"/>
  <c r="L10" i="72" s="1"/>
  <c r="G11" i="33" s="1"/>
  <c r="D10" i="33"/>
  <c r="K9" i="72"/>
  <c r="C16" i="83"/>
  <c r="C31" i="83" s="1"/>
  <c r="C35" i="83" s="1"/>
  <c r="P16" i="83"/>
  <c r="P31" i="83" s="1"/>
  <c r="P35" i="83" s="1"/>
  <c r="M16" i="83"/>
  <c r="M31" i="83" s="1"/>
  <c r="M35" i="83" s="1"/>
  <c r="D15" i="33" l="1"/>
  <c r="D32" i="33" s="1"/>
  <c r="D37" i="33" s="1"/>
  <c r="K35" i="72" s="1"/>
  <c r="F15" i="33"/>
  <c r="E16" i="83"/>
  <c r="E31" i="83" s="1"/>
  <c r="E35" i="83" s="1"/>
  <c r="O16" i="83"/>
  <c r="O31" i="83" s="1"/>
  <c r="O35" i="83" s="1"/>
  <c r="L9" i="72"/>
  <c r="G10" i="33" s="1"/>
  <c r="K25" i="72"/>
  <c r="G15" i="33"/>
  <c r="G16" i="83"/>
  <c r="G31" i="83" s="1"/>
  <c r="G35" i="83" s="1"/>
  <c r="L16" i="83"/>
  <c r="L31" i="83" s="1"/>
  <c r="L35" i="83" s="1"/>
  <c r="F32" i="33" l="1"/>
  <c r="L25" i="72"/>
  <c r="G32" i="33" s="1"/>
  <c r="K31" i="72"/>
  <c r="K36" i="72" s="1"/>
  <c r="D33" i="83" l="1"/>
  <c r="E30" i="33" s="1"/>
  <c r="H30" i="33" l="1"/>
  <c r="I30" i="33"/>
  <c r="J30" i="33" s="1"/>
  <c r="K30" i="33" s="1"/>
  <c r="F25" i="83"/>
  <c r="F21" i="83" l="1"/>
  <c r="F16" i="83" l="1"/>
  <c r="F10" i="83" l="1"/>
  <c r="F31" i="83" s="1"/>
  <c r="F35" i="83" s="1"/>
  <c r="H25" i="83" l="1"/>
  <c r="H21" i="83"/>
  <c r="H16" i="83" l="1"/>
  <c r="H10" i="83" l="1"/>
  <c r="H31" i="83" l="1"/>
  <c r="H35" i="83" s="1"/>
  <c r="N21" i="83" l="1"/>
  <c r="N16" i="83"/>
  <c r="N10" i="83" l="1"/>
  <c r="N31" i="83" l="1"/>
  <c r="N35" i="83" s="1"/>
  <c r="K25" i="83" l="1"/>
  <c r="K10" i="83" l="1"/>
  <c r="K21" i="83" l="1"/>
  <c r="K16" i="83" l="1"/>
  <c r="K31" i="83" s="1"/>
  <c r="K35" i="83" s="1"/>
  <c r="D29" i="83" l="1"/>
  <c r="E35" i="33" s="1"/>
  <c r="H35" i="33" l="1"/>
  <c r="I35" i="33"/>
  <c r="J35" i="33" s="1"/>
  <c r="I25" i="83" l="1"/>
  <c r="I10" i="83" l="1"/>
  <c r="I21" i="83"/>
  <c r="I16" i="83"/>
  <c r="I31" i="83" l="1"/>
  <c r="I35" i="83" s="1"/>
  <c r="D19" i="83" l="1"/>
  <c r="E18" i="33" s="1"/>
  <c r="D24" i="83"/>
  <c r="E24" i="33" s="1"/>
  <c r="D15" i="83"/>
  <c r="E13" i="33" s="1"/>
  <c r="D20" i="83"/>
  <c r="E19" i="33" s="1"/>
  <c r="J25" i="83" l="1"/>
  <c r="D23" i="83"/>
  <c r="H24" i="33"/>
  <c r="I24" i="33"/>
  <c r="I18" i="33"/>
  <c r="H18" i="33"/>
  <c r="H19" i="33"/>
  <c r="I19" i="33"/>
  <c r="H13" i="33"/>
  <c r="I13" i="33"/>
  <c r="D27" i="83"/>
  <c r="E28" i="33" s="1"/>
  <c r="J19" i="33" l="1"/>
  <c r="K19" i="33" s="1"/>
  <c r="I28" i="33"/>
  <c r="H28" i="33"/>
  <c r="J24" i="33"/>
  <c r="K24" i="33" s="1"/>
  <c r="D25" i="83"/>
  <c r="E23" i="33"/>
  <c r="J18" i="33"/>
  <c r="K18" i="33" s="1"/>
  <c r="J13" i="33"/>
  <c r="K13" i="33" s="1"/>
  <c r="D14" i="83"/>
  <c r="E12" i="33" s="1"/>
  <c r="J28" i="33" l="1"/>
  <c r="K28" i="33" s="1"/>
  <c r="E26" i="33"/>
  <c r="H23" i="33"/>
  <c r="H26" i="33" s="1"/>
  <c r="I23" i="33"/>
  <c r="J21" i="83"/>
  <c r="D18" i="83"/>
  <c r="H12" i="33"/>
  <c r="I12" i="33"/>
  <c r="J12" i="33" l="1"/>
  <c r="K12" i="33" s="1"/>
  <c r="I26" i="33"/>
  <c r="J23" i="33"/>
  <c r="D21" i="83"/>
  <c r="E17" i="33"/>
  <c r="J26" i="33" l="1"/>
  <c r="K26" i="33" s="1"/>
  <c r="K23" i="33"/>
  <c r="E21" i="33"/>
  <c r="H17" i="33"/>
  <c r="H21" i="33" s="1"/>
  <c r="I17" i="33"/>
  <c r="J17" i="33" l="1"/>
  <c r="I21" i="33"/>
  <c r="K17" i="33" l="1"/>
  <c r="J21" i="33"/>
  <c r="K21" i="33" s="1"/>
  <c r="D13" i="83" l="1"/>
  <c r="E11" i="33" s="1"/>
  <c r="I11" i="33" l="1"/>
  <c r="H11" i="33"/>
  <c r="J16" i="83"/>
  <c r="D12" i="83"/>
  <c r="D16" i="83" l="1"/>
  <c r="E10" i="33"/>
  <c r="J11" i="33"/>
  <c r="K11" i="33" s="1"/>
  <c r="J10" i="83"/>
  <c r="J31" i="83" s="1"/>
  <c r="J35" i="83" s="1"/>
  <c r="D9" i="83"/>
  <c r="H10" i="33" l="1"/>
  <c r="H15" i="33" s="1"/>
  <c r="I10" i="33"/>
  <c r="E15" i="33"/>
  <c r="E8" i="33"/>
  <c r="D10" i="83"/>
  <c r="D31" i="83" s="1"/>
  <c r="D35" i="83" s="1"/>
  <c r="J10" i="33" l="1"/>
  <c r="I15" i="33"/>
  <c r="I8" i="33"/>
  <c r="E32" i="33"/>
  <c r="E37" i="33" s="1"/>
  <c r="H8" i="33"/>
  <c r="H32" i="33" s="1"/>
  <c r="H37" i="33" s="1"/>
  <c r="K10" i="33" l="1"/>
  <c r="J15" i="33"/>
  <c r="K15" i="33" s="1"/>
  <c r="J8" i="33"/>
  <c r="I32" i="33"/>
  <c r="I37" i="33" s="1"/>
  <c r="K8" i="33" l="1"/>
  <c r="J32" i="33"/>
  <c r="K32" i="33" l="1"/>
  <c r="J37" i="33"/>
</calcChain>
</file>

<file path=xl/comments1.xml><?xml version="1.0" encoding="utf-8"?>
<comments xmlns="http://schemas.openxmlformats.org/spreadsheetml/2006/main">
  <authors>
    <author>Regan, Jared</author>
  </authors>
  <commentList>
    <comment ref="E48" authorId="0" shapeId="0">
      <text>
        <r>
          <rPr>
            <b/>
            <sz val="9"/>
            <color indexed="81"/>
            <rFont val="Tahoma"/>
            <charset val="1"/>
          </rPr>
          <t>Regan, Jared:</t>
        </r>
        <r>
          <rPr>
            <sz val="9"/>
            <color indexed="81"/>
            <rFont val="Tahoma"/>
            <charset val="1"/>
          </rPr>
          <t xml:space="preserve">
Filed 09-30-2021 (UE-210757); Approved in Open Meeting on 10/28; effective Nov 1</t>
        </r>
      </text>
    </comment>
  </commentList>
</comments>
</file>

<file path=xl/comments2.xml><?xml version="1.0" encoding="utf-8"?>
<comments xmlns="http://schemas.openxmlformats.org/spreadsheetml/2006/main">
  <authors>
    <author>Chun Chang</author>
  </authors>
  <commentList>
    <comment ref="J14" authorId="0" shapeId="0">
      <text>
        <r>
          <rPr>
            <b/>
            <sz val="9"/>
            <color indexed="81"/>
            <rFont val="Tahoma"/>
            <family val="2"/>
          </rPr>
          <t>Chun Chang:</t>
        </r>
        <r>
          <rPr>
            <sz val="9"/>
            <color indexed="81"/>
            <rFont val="Tahoma"/>
            <family val="2"/>
          </rPr>
          <t xml:space="preserve">
This is to be used as the energy allocation factor in 2019 GRC.  04/29/19</t>
        </r>
      </text>
    </comment>
    <comment ref="B17" authorId="0" shapeId="0">
      <text>
        <r>
          <rPr>
            <b/>
            <sz val="9"/>
            <color indexed="81"/>
            <rFont val="Tahoma"/>
            <family val="2"/>
          </rPr>
          <t>Chun Chang:</t>
        </r>
        <r>
          <rPr>
            <sz val="9"/>
            <color indexed="81"/>
            <rFont val="Tahoma"/>
            <family val="2"/>
          </rPr>
          <t xml:space="preserve">
Reflects schedule 40 rate migrations anticipated after 2019 GRC.  04/29/19</t>
        </r>
      </text>
    </comment>
  </commentList>
</comments>
</file>

<file path=xl/sharedStrings.xml><?xml version="1.0" encoding="utf-8"?>
<sst xmlns="http://schemas.openxmlformats.org/spreadsheetml/2006/main" count="1025" uniqueCount="454">
  <si>
    <t>Line No.</t>
  </si>
  <si>
    <t>Residential</t>
  </si>
  <si>
    <t>Sec Gen Svc - Small</t>
  </si>
  <si>
    <t>Sec Gen Svc - Medium</t>
  </si>
  <si>
    <t>Sec Gen Svc - Large</t>
  </si>
  <si>
    <t>Sec Irrigation Svc</t>
  </si>
  <si>
    <t>Pri Gen Svc</t>
  </si>
  <si>
    <t>Pri Irrigation Svc</t>
  </si>
  <si>
    <t>Pri Interruptible Svc</t>
  </si>
  <si>
    <t>Lights</t>
  </si>
  <si>
    <t>Subtotal</t>
  </si>
  <si>
    <t>Transportation</t>
  </si>
  <si>
    <t>Total</t>
  </si>
  <si>
    <t>Puget Sound Energy</t>
  </si>
  <si>
    <t>a</t>
  </si>
  <si>
    <t>b</t>
  </si>
  <si>
    <t>c</t>
  </si>
  <si>
    <t>CUSTOMER CLASS</t>
  </si>
  <si>
    <t>SCHEDULE</t>
  </si>
  <si>
    <t>Increase / Decrease 
$</t>
  </si>
  <si>
    <t>Increase / Decrease
%</t>
  </si>
  <si>
    <t>Secondary Service Total</t>
  </si>
  <si>
    <t>Primary Service Total</t>
  </si>
  <si>
    <t>HV Interruptible Svc</t>
  </si>
  <si>
    <t>HV Gen Svc</t>
  </si>
  <si>
    <t>High Voltage Service Total</t>
  </si>
  <si>
    <t>Small Firm Resale</t>
  </si>
  <si>
    <t>005</t>
  </si>
  <si>
    <t>Excluded Schedules</t>
  </si>
  <si>
    <t>Schedule</t>
  </si>
  <si>
    <t>Lamp Type</t>
  </si>
  <si>
    <t>$ / kWh</t>
  </si>
  <si>
    <t>Mercury Vapor</t>
  </si>
  <si>
    <t>Sodium Vapor</t>
  </si>
  <si>
    <t>kWh</t>
  </si>
  <si>
    <t>Residential Customer Impacts</t>
  </si>
  <si>
    <t>Month</t>
  </si>
  <si>
    <t>$ Difference</t>
  </si>
  <si>
    <t>% Difference</t>
  </si>
  <si>
    <t>January</t>
  </si>
  <si>
    <t>February</t>
  </si>
  <si>
    <t>March</t>
  </si>
  <si>
    <t>April</t>
  </si>
  <si>
    <t>May</t>
  </si>
  <si>
    <t>June</t>
  </si>
  <si>
    <t>July</t>
  </si>
  <si>
    <t>August</t>
  </si>
  <si>
    <t>September</t>
  </si>
  <si>
    <t>October</t>
  </si>
  <si>
    <t>November</t>
  </si>
  <si>
    <t>December</t>
  </si>
  <si>
    <t>Annual Total</t>
  </si>
  <si>
    <t>Customer Monthly Charge:</t>
  </si>
  <si>
    <t>per Month</t>
  </si>
  <si>
    <t>Energy Charge:</t>
  </si>
  <si>
    <t>Schedule 7 first 600 kWh</t>
  </si>
  <si>
    <t>Schedule 7 over 600 kWh</t>
  </si>
  <si>
    <t>Schedule 95 - Power Cost Adjustment Clause</t>
  </si>
  <si>
    <t>Schedule 120 - Conservation Rider</t>
  </si>
  <si>
    <t>Schedule 129 - Low Income</t>
  </si>
  <si>
    <t>Schedule 194 - BPA Exchange Credit</t>
  </si>
  <si>
    <t>Rate Spread &amp; Rate Design</t>
  </si>
  <si>
    <t>Electronic Workpapers</t>
  </si>
  <si>
    <t>50-59</t>
  </si>
  <si>
    <t>Customer Class</t>
  </si>
  <si>
    <t>Firm Resale - Small</t>
  </si>
  <si>
    <t>d</t>
  </si>
  <si>
    <t>g = f - e</t>
  </si>
  <si>
    <t>h = g / e</t>
  </si>
  <si>
    <t>Total Secondary Voltage</t>
  </si>
  <si>
    <t>Total Primary Voltage</t>
  </si>
  <si>
    <t>Total High Voltage</t>
  </si>
  <si>
    <t>Schedule No. 95A</t>
  </si>
  <si>
    <t>Federal Incentive Tracker</t>
  </si>
  <si>
    <t>Statement of Proforma and Proposed Revenues for Federal Incentive Tracker Credit</t>
  </si>
  <si>
    <t>PUGET SOUND ENERGY</t>
  </si>
  <si>
    <t>GRANT</t>
  </si>
  <si>
    <t>INTEREST</t>
  </si>
  <si>
    <t>TOTAL</t>
  </si>
  <si>
    <t>¸</t>
  </si>
  <si>
    <t>Revenue requirement before gross up for revenue sensitive items</t>
  </si>
  <si>
    <t>LOWER SNAKE RIVER</t>
  </si>
  <si>
    <t>DESCRIPTION</t>
  </si>
  <si>
    <t>D</t>
  </si>
  <si>
    <t>E</t>
  </si>
  <si>
    <t>F</t>
  </si>
  <si>
    <t>Original Treasury Grant</t>
  </si>
  <si>
    <t>x</t>
  </si>
  <si>
    <t>Composite Rate Increase / (Decrease)</t>
  </si>
  <si>
    <t>Schedule 95A - Wind Power Production Credit</t>
  </si>
  <si>
    <t>Schedule 137 - Renewable Energy Credit</t>
  </si>
  <si>
    <t>Schedule 140 - Property Tax Rider</t>
  </si>
  <si>
    <t>Schedule 142 - Decoupling Rider</t>
  </si>
  <si>
    <t>10 Year Amortization Period</t>
  </si>
  <si>
    <t>Annual Grant amortization and Net of Tax ROR</t>
  </si>
  <si>
    <t>Subtotal Base Monthly Charge</t>
  </si>
  <si>
    <t>Subtotal Base First 600 kWh Charge</t>
  </si>
  <si>
    <t>Subtotal Base Over 600 kWh Charge</t>
  </si>
  <si>
    <t>8 &amp; 24</t>
  </si>
  <si>
    <t>11, 25 &amp; 7A</t>
  </si>
  <si>
    <t>10 &amp; 31</t>
  </si>
  <si>
    <t>12, 26 &amp; 26P</t>
  </si>
  <si>
    <t>HV - Interruptible Svc</t>
  </si>
  <si>
    <t>HV - General Svc</t>
  </si>
  <si>
    <t>e = 
b + (a * c)</t>
  </si>
  <si>
    <t>f = 
b + (a * d)</t>
  </si>
  <si>
    <t>e = b + d</t>
  </si>
  <si>
    <t>f</t>
  </si>
  <si>
    <t>g = e * Revenue Requirement</t>
  </si>
  <si>
    <t>j</t>
  </si>
  <si>
    <t xml:space="preserve">Typical Residential </t>
  </si>
  <si>
    <t>Residential Schedule 7 Rates</t>
  </si>
  <si>
    <t>One Phase Basic Charge</t>
  </si>
  <si>
    <t>Other Electric Charges and Credits</t>
  </si>
  <si>
    <t>Subtotal Other Charges</t>
  </si>
  <si>
    <t>Total Block 1 Energy Charge</t>
  </si>
  <si>
    <t>Total Block 2 Energy Charge</t>
  </si>
  <si>
    <t>Average</t>
  </si>
  <si>
    <t>Date</t>
  </si>
  <si>
    <t>Losses</t>
  </si>
  <si>
    <t>Tariff</t>
  </si>
  <si>
    <t>Annual kWh Delivered Sales (Normalized)</t>
  </si>
  <si>
    <t>Estimated Annual Proforma Base Revenue</t>
  </si>
  <si>
    <t>Schedule 120
Conservation</t>
  </si>
  <si>
    <t>Schedule 129
Low Income</t>
  </si>
  <si>
    <t>Schedule 137
RECS</t>
  </si>
  <si>
    <t>Schedule 140
Property Tax</t>
  </si>
  <si>
    <t>Schedule 194
BPA Res &amp; Farm Credit</t>
  </si>
  <si>
    <t>449-459</t>
  </si>
  <si>
    <t>All Sales</t>
  </si>
  <si>
    <t>Estimated Net Annual Proforma Base Revenue (Excluding Sch 95a)</t>
  </si>
  <si>
    <t>Schedules</t>
  </si>
  <si>
    <t>8/24</t>
  </si>
  <si>
    <t>7A/11/25</t>
  </si>
  <si>
    <t>12/26</t>
  </si>
  <si>
    <t>10/31</t>
  </si>
  <si>
    <t>b = 75% * a / ∑(a)</t>
  </si>
  <si>
    <t>d = 25% * c / ∑(c)</t>
  </si>
  <si>
    <t>e</t>
  </si>
  <si>
    <t>h</t>
  </si>
  <si>
    <t>i</t>
  </si>
  <si>
    <t>k</t>
  </si>
  <si>
    <t>l</t>
  </si>
  <si>
    <t>g</t>
  </si>
  <si>
    <t>Wattage (W)</t>
  </si>
  <si>
    <t>Demand-Related</t>
  </si>
  <si>
    <t>Energy-Related</t>
  </si>
  <si>
    <t>(a)</t>
  </si>
  <si>
    <t>(b)</t>
  </si>
  <si>
    <t>(d)</t>
  </si>
  <si>
    <t>(e)</t>
  </si>
  <si>
    <t>(f)</t>
  </si>
  <si>
    <t>= (a) * (AA)</t>
  </si>
  <si>
    <t>= (a) * (d)</t>
  </si>
  <si>
    <t>= (b) * (d)</t>
  </si>
  <si>
    <t>AA</t>
  </si>
  <si>
    <t>Total Lamp Revenue Requirement Based on Inventory</t>
  </si>
  <si>
    <t>Schedule 129 Lighting Revenue Requirement to Collect</t>
  </si>
  <si>
    <t>Difference Due to Rounding</t>
  </si>
  <si>
    <t>Schedule 50</t>
  </si>
  <si>
    <t>Schedule 51</t>
  </si>
  <si>
    <t>Schedule 52</t>
  </si>
  <si>
    <t>Schedule 53</t>
  </si>
  <si>
    <t>Schedule 54</t>
  </si>
  <si>
    <t>Schedule 55-56</t>
  </si>
  <si>
    <t>Schedule 57</t>
  </si>
  <si>
    <t>Schedule 58-59</t>
  </si>
  <si>
    <t>All Lighting</t>
  </si>
  <si>
    <t>Sch 50E</t>
  </si>
  <si>
    <t>003</t>
  </si>
  <si>
    <t>Compact Flourescent</t>
  </si>
  <si>
    <t>50E-A</t>
  </si>
  <si>
    <t>50E-B</t>
  </si>
  <si>
    <t>Sch 51E</t>
  </si>
  <si>
    <t>51E</t>
  </si>
  <si>
    <t>Light Emitting Diode</t>
  </si>
  <si>
    <t>30.01 - 60</t>
  </si>
  <si>
    <t>60.01 - 90</t>
  </si>
  <si>
    <t>90.01 - 120</t>
  </si>
  <si>
    <t>120.01 - 150</t>
  </si>
  <si>
    <t>150.01 - 180</t>
  </si>
  <si>
    <t>180.01 - 210</t>
  </si>
  <si>
    <t>210.01 - 240</t>
  </si>
  <si>
    <t>240.01 - 270</t>
  </si>
  <si>
    <t>270.01 - 300</t>
  </si>
  <si>
    <t>Sch 52E</t>
  </si>
  <si>
    <t xml:space="preserve">52E </t>
  </si>
  <si>
    <t>Metal Halide</t>
  </si>
  <si>
    <t>Sch 53E</t>
  </si>
  <si>
    <t>53E - Company Owned</t>
  </si>
  <si>
    <t>53E - Customer Owned</t>
  </si>
  <si>
    <t>Sch 54E</t>
  </si>
  <si>
    <t>54E</t>
  </si>
  <si>
    <t>Sch 55 &amp; 56</t>
  </si>
  <si>
    <t>55E &amp; 56E</t>
  </si>
  <si>
    <t>Sch 57</t>
  </si>
  <si>
    <t>57E</t>
  </si>
  <si>
    <t>Per W charge</t>
  </si>
  <si>
    <t>Sch 58 &amp; 59</t>
  </si>
  <si>
    <t>58E &amp; 59E - Directional</t>
  </si>
  <si>
    <t>58E &amp; 59E - Horizontal</t>
  </si>
  <si>
    <t>58E &amp; 59E</t>
  </si>
  <si>
    <t>300.01 - 400</t>
  </si>
  <si>
    <t>400.01 - 500</t>
  </si>
  <si>
    <t>500.01 - 600</t>
  </si>
  <si>
    <t>600.01 - 700</t>
  </si>
  <si>
    <t>700.01 - 800</t>
  </si>
  <si>
    <t>800.01 - 900</t>
  </si>
  <si>
    <t>Schedule 95A Revenue Requirement Ratio to Base Demand &amp; Energy Light Charge Cost</t>
  </si>
  <si>
    <t>Load Research Allocation Factors</t>
  </si>
  <si>
    <t>Electric Cost of Service Allocation Factors</t>
  </si>
  <si>
    <t>Load Research Data</t>
  </si>
  <si>
    <t>ENERGY_1</t>
  </si>
  <si>
    <t>ENERGY_2</t>
  </si>
  <si>
    <t>DEM_2A</t>
  </si>
  <si>
    <t>DEM_2B</t>
  </si>
  <si>
    <t>Energy - All Rate Schedules</t>
  </si>
  <si>
    <t>Energy - Exclude Transportation</t>
  </si>
  <si>
    <t>4 CP Demand - Exclude Interruptible</t>
  </si>
  <si>
    <t>4 CP Demand - Exclude Interruptible &amp; Transportation</t>
  </si>
  <si>
    <t>Energy</t>
  </si>
  <si>
    <t>4 CP  Demand</t>
  </si>
  <si>
    <t>Firm Resale</t>
  </si>
  <si>
    <t>Check</t>
  </si>
  <si>
    <t>Monthly CP by Class</t>
  </si>
  <si>
    <t>with losses</t>
  </si>
  <si>
    <t>YearMo</t>
  </si>
  <si>
    <t>Hour</t>
  </si>
  <si>
    <t>_24</t>
  </si>
  <si>
    <t>_25</t>
  </si>
  <si>
    <t>_26</t>
  </si>
  <si>
    <t>_29</t>
  </si>
  <si>
    <t>_31</t>
  </si>
  <si>
    <t>_35</t>
  </si>
  <si>
    <t>_43</t>
  </si>
  <si>
    <t>_46</t>
  </si>
  <si>
    <t>_49</t>
  </si>
  <si>
    <t>_5</t>
  </si>
  <si>
    <t>_7</t>
  </si>
  <si>
    <t>System</t>
  </si>
  <si>
    <t>NET GPI</t>
  </si>
  <si>
    <t>TEMP ADJ</t>
  </si>
  <si>
    <t>TEMP ADJUSTED</t>
  </si>
  <si>
    <t>TEMP ADJ GPI</t>
  </si>
  <si>
    <t>(1b)</t>
  </si>
  <si>
    <t>(2b)</t>
  </si>
  <si>
    <t>(3b)</t>
  </si>
  <si>
    <t>(4b)</t>
  </si>
  <si>
    <t>(5b)</t>
  </si>
  <si>
    <t>(6b)</t>
  </si>
  <si>
    <t>(7b)</t>
  </si>
  <si>
    <t>(8b)</t>
  </si>
  <si>
    <t>(9b)</t>
  </si>
  <si>
    <t>(10b)</t>
  </si>
  <si>
    <t xml:space="preserve"> </t>
  </si>
  <si>
    <t>Annual kWh</t>
  </si>
  <si>
    <t>Temperature</t>
  </si>
  <si>
    <t>Annual</t>
  </si>
  <si>
    <t>Temp Adj</t>
  </si>
  <si>
    <t>Percent</t>
  </si>
  <si>
    <t>Billed kWh</t>
  </si>
  <si>
    <t>(incl. losses</t>
  </si>
  <si>
    <t>Adjusted</t>
  </si>
  <si>
    <t>Class</t>
  </si>
  <si>
    <t>actual kWh</t>
  </si>
  <si>
    <t>Difference</t>
  </si>
  <si>
    <t>GPI kWh</t>
  </si>
  <si>
    <t>&amp; misc. usage)</t>
  </si>
  <si>
    <t>on temp adj</t>
  </si>
  <si>
    <t>Incl Losses</t>
  </si>
  <si>
    <t>Allocation</t>
  </si>
  <si>
    <t>(not incl. Losses)</t>
  </si>
  <si>
    <t>(calendar view)</t>
  </si>
  <si>
    <t>11a</t>
  </si>
  <si>
    <t>7b-4b</t>
  </si>
  <si>
    <t>4b/(1-5b)</t>
  </si>
  <si>
    <t>(7b/sum(7b) *B8</t>
  </si>
  <si>
    <t>10a</t>
  </si>
  <si>
    <t>8b+9b</t>
  </si>
  <si>
    <t>============</t>
  </si>
  <si>
    <t>===============</t>
  </si>
  <si>
    <t>===================</t>
  </si>
  <si>
    <t>07</t>
  </si>
  <si>
    <t>Small Resale (05)</t>
  </si>
  <si>
    <t>50-54,57-58</t>
  </si>
  <si>
    <t>Transportation Schedules:</t>
  </si>
  <si>
    <t>449 HV</t>
  </si>
  <si>
    <t>449 PV</t>
  </si>
  <si>
    <t>Total Transp.</t>
  </si>
  <si>
    <t>Delivery</t>
  </si>
  <si>
    <t>% of Total</t>
  </si>
  <si>
    <t>% of Annual</t>
  </si>
  <si>
    <t>Voltage Level</t>
  </si>
  <si>
    <t>Energy Losses</t>
  </si>
  <si>
    <t>KWH LOSSES</t>
  </si>
  <si>
    <t>High Voltage (Sch 46,49)</t>
  </si>
  <si>
    <t>MISC USAGE</t>
  </si>
  <si>
    <t>Primary (Sch 05,31,35,40,43)</t>
  </si>
  <si>
    <t>KWH BILLED</t>
  </si>
  <si>
    <t>Secondary (7,24,25,26,29,Lighting)</t>
  </si>
  <si>
    <t>Total (not incl. transportation)</t>
  </si>
  <si>
    <t>(1a)</t>
  </si>
  <si>
    <t>(2a)</t>
  </si>
  <si>
    <t>(3a)</t>
  </si>
  <si>
    <t>(4a)</t>
  </si>
  <si>
    <t>(5a)</t>
  </si>
  <si>
    <t>(6a)</t>
  </si>
  <si>
    <t>(7a)</t>
  </si>
  <si>
    <t>(8a)</t>
  </si>
  <si>
    <t>(9a)</t>
  </si>
  <si>
    <t>(10a)</t>
  </si>
  <si>
    <t>(11a)</t>
  </si>
  <si>
    <t>Ave Monthly</t>
  </si>
  <si>
    <t>Misc. Use</t>
  </si>
  <si>
    <t>Coincident</t>
  </si>
  <si>
    <t>Annual Loss</t>
  </si>
  <si>
    <t>Coincident kW</t>
  </si>
  <si>
    <t>kW</t>
  </si>
  <si>
    <t>Load Factor</t>
  </si>
  <si>
    <t>kW Losses</t>
  </si>
  <si>
    <t>kWh Losses</t>
  </si>
  <si>
    <t>(2a/sum(2a)</t>
  </si>
  <si>
    <t>(SAS Output)</t>
  </si>
  <si>
    <t>(5/4)</t>
  </si>
  <si>
    <t>8/sum(8)</t>
  </si>
  <si>
    <t>(2+3+9)</t>
  </si>
  <si>
    <t>(9/(2+3))</t>
  </si>
  <si>
    <t>*misc use)</t>
  </si>
  <si>
    <t>*total kWh losses</t>
  </si>
  <si>
    <t>=================</t>
  </si>
  <si>
    <t>50-54,57-59</t>
  </si>
  <si>
    <t>Column K (11a) is used as an input for LINECST2 and SUBCSTA4 allocation programs.</t>
  </si>
  <si>
    <t>Data in 4a and 7a are calculated in Losses.sas program -- for system schedules (non-transportation)</t>
  </si>
  <si>
    <t>Data in 4a and 7a are calculated in 'Avg CP kW and Losses OFFSYS' sheet for off-system schedules (transportation)</t>
  </si>
  <si>
    <t>Secondary Volt.</t>
  </si>
  <si>
    <t>Primary Volt.</t>
  </si>
  <si>
    <t>Transm. Volt.</t>
  </si>
  <si>
    <t>8, 24</t>
  </si>
  <si>
    <t>7A, 11, 25</t>
  </si>
  <si>
    <t>12, 26, 26P</t>
  </si>
  <si>
    <t>10, 31</t>
  </si>
  <si>
    <t xml:space="preserve">SCHEDULE 95A ANNUAL FILING </t>
  </si>
  <si>
    <t>10 year amortization period for both Wild Horse and Lower Snake River Treasury Grants</t>
  </si>
  <si>
    <t>Transportation/Special Contract</t>
  </si>
  <si>
    <t>449 / 459 / SC</t>
  </si>
  <si>
    <t>Allocation of Federal Incentive Tracker Revenue Requirement to Rate Schedule</t>
  </si>
  <si>
    <t>$ per kWh Proposed Eff 1-1-2020</t>
  </si>
  <si>
    <t>Special Contract</t>
  </si>
  <si>
    <t>SC</t>
  </si>
  <si>
    <t>m</t>
  </si>
  <si>
    <t>n</t>
  </si>
  <si>
    <t>449-459-SC</t>
  </si>
  <si>
    <t>b = ∑
(c to n)</t>
  </si>
  <si>
    <t>i = g / h</t>
  </si>
  <si>
    <t>TEMPERATURE ADJUSTED ANNUAL ENERGY ALLOCATIONS BY RATE SCHEDULE</t>
  </si>
  <si>
    <t>12 MONTHS ENDED DECEMBER 31, 2018</t>
  </si>
  <si>
    <t>DELIVERED KWH (Cal View)</t>
  </si>
  <si>
    <t>TEMP ADJ DELIVERED KWH</t>
  </si>
  <si>
    <t>Note:  Annual actual kWh includes the impacts of schedule 40 rate migrations anticipated during the rate year on Schedules 24, 25, 26, 31 &amp; Special Contract.</t>
  </si>
  <si>
    <t>ANNUAL ENERGY LOSS ALLOCATIONS BY RATE SCHEDULE</t>
  </si>
  <si>
    <t>Annual Actual</t>
  </si>
  <si>
    <t>Delivered kWh</t>
  </si>
  <si>
    <t>((2+3)/8760)</t>
  </si>
  <si>
    <t>(6*7*8784)</t>
  </si>
  <si>
    <t>calendar view</t>
  </si>
  <si>
    <t>_449-459</t>
  </si>
  <si>
    <t>18:00</t>
  </si>
  <si>
    <t>08:00</t>
  </si>
  <si>
    <t>4 CP</t>
  </si>
  <si>
    <t>12 NCP</t>
  </si>
  <si>
    <t>Twelve Months ended December 30, 2018</t>
  </si>
  <si>
    <t>2019 GRC</t>
  </si>
  <si>
    <t>7A, 11, 25 &amp; 29</t>
  </si>
  <si>
    <t>12 &amp; 26</t>
  </si>
  <si>
    <t>46 &amp;49</t>
  </si>
  <si>
    <t>Lighting (50-59)</t>
  </si>
  <si>
    <t>Retail Wheeling (449-459)</t>
  </si>
  <si>
    <t>Schedule 141Z (Unprotected)
EDIT</t>
  </si>
  <si>
    <t>kWh
Source: F2020 January 2021 to December 2021</t>
  </si>
  <si>
    <t>Estimated Net Revenue @
Rates Effective
10-15-2020
(*Note 1)</t>
  </si>
  <si>
    <t>Sch 95a
Effective
Jan 1, 2020
$ per kWh</t>
  </si>
  <si>
    <t>Proposed 
Sch 95a
Effective
January 1, 2021
$ per kWh</t>
  </si>
  <si>
    <t>Revenue Including
Sch 95a
Eff 1-1-20</t>
  </si>
  <si>
    <t>Revenue
Including
Proposed
Sch 95a
Effective 1-1-21</t>
  </si>
  <si>
    <t>2019 GRC Energy
Allocator
(Docket No.
UE-190529</t>
  </si>
  <si>
    <t>75%
2019 GRC Energy
(Docket No.
UE-190529)</t>
  </si>
  <si>
    <t>2019 GRC 4CP Demand
Allocator
(Docket No.
UE-190529)</t>
  </si>
  <si>
    <t>25%
2019 GRC Demand
(Docket No.
UE-190529)</t>
  </si>
  <si>
    <t>Test Year Ending December 31, 2021</t>
  </si>
  <si>
    <t>Schedule 141Z - EDIT Rider</t>
  </si>
  <si>
    <t>Schedule 141Y - Tax Over Collection Rider</t>
  </si>
  <si>
    <t>Schedule 141X EDIT Rider - Over 600 kWh</t>
  </si>
  <si>
    <t>Schedule 141X EDIT Rider - First 600 kWh</t>
  </si>
  <si>
    <t>Bill</t>
  </si>
  <si>
    <t>Over 600 kWh</t>
  </si>
  <si>
    <t>First 600 kWh</t>
  </si>
  <si>
    <t>Basic Charge</t>
  </si>
  <si>
    <t>Proposed Customer Bill in Notice</t>
  </si>
  <si>
    <t>Current Customer Bill in Notice</t>
  </si>
  <si>
    <t>*Note 1:  Estimated Net Revenue Includes Sch 95 (PCA/PCORC), Sch 120 (DSM), Sch 129 (Low Income), Sch 132 (Merger Credit), Sch 137 (RECs), Sch 140 (Property Tax), 
Sch 141X (Excess Def Tax), Sch 141Y (Temp Fed Tax Cr),  Sch 141Z (Unprotected EDIT), Sch 142 (Decoupling &amp; Rate Plan), Sch 194 (Residential Exchange Benefit) and excludes Sch 95a (Fed Incentive Tracker)</t>
  </si>
  <si>
    <t>Gross up for FIT</t>
  </si>
  <si>
    <t>Effective January 1, 2022 to December 31, 2022</t>
  </si>
  <si>
    <t>Schedule 95
PCA</t>
  </si>
  <si>
    <t>Schedule 95
PCORC</t>
  </si>
  <si>
    <t>Schedule 141X (Pass-back)
ERF</t>
  </si>
  <si>
    <t>Schedule 142
 Deferral</t>
  </si>
  <si>
    <t>Schedule 142
Supplemental</t>
  </si>
  <si>
    <t>Estimated Treasury Grant AMA Balance as of December 31, 2022</t>
  </si>
  <si>
    <t>Annual revenue requirement including revenue sensitive items</t>
  </si>
  <si>
    <t>True up for Oct 2020 through December 2021 for differences in load and interest</t>
  </si>
  <si>
    <t>Total 2021 Annual Revenue Requirement to be Recovered for Schedule 95a</t>
  </si>
  <si>
    <t>Forecast Load from January through Dec 2022</t>
  </si>
  <si>
    <t>Rate starting January 1, 2022 from UE-21____</t>
  </si>
  <si>
    <t>Rate through Dec 31, 2021</t>
  </si>
  <si>
    <t>FOR RATES EFFECTIVE JANUARY - DECEMBER 2022</t>
  </si>
  <si>
    <t>Current Year Revenue Requirement</t>
  </si>
  <si>
    <t>Other true up changes</t>
  </si>
  <si>
    <t>Reduction in LSR interest for lower grant balance</t>
  </si>
  <si>
    <t>Removal of LSR amortization true-up</t>
  </si>
  <si>
    <t>Approved in PY Filing</t>
  </si>
  <si>
    <t>Explanation of decrease in revenue requirement credit</t>
  </si>
  <si>
    <r>
      <t xml:space="preserve">Electric conversion factor from </t>
    </r>
    <r>
      <rPr>
        <b/>
        <sz val="11"/>
        <color rgb="FF0000FF"/>
        <rFont val="Calibri"/>
        <family val="2"/>
      </rPr>
      <t>2019 GRC</t>
    </r>
  </si>
  <si>
    <r>
      <t xml:space="preserve">After Tax ROR from </t>
    </r>
    <r>
      <rPr>
        <b/>
        <sz val="11"/>
        <color rgb="FF0000FF"/>
        <rFont val="Calibri"/>
        <family val="2"/>
      </rPr>
      <t>2019 GRC</t>
    </r>
  </si>
  <si>
    <t>Proposed Schedule 95A Lamp Charge Effective 
1-1-2021</t>
  </si>
  <si>
    <t>Annual Lamp Inventory @ 9-30-2021</t>
  </si>
  <si>
    <t>Current Base Lamp Demand &amp; Energy Charges from COS Effective 
10-1-2021</t>
  </si>
  <si>
    <t>Proposed Annual Schedule 95A Lamp Revenue @ 1-1-2022</t>
  </si>
  <si>
    <t>Current Annual Base Lamp Demand &amp; Energy Cost @ 10-1-2021</t>
  </si>
  <si>
    <t>January 1, 2022 Rate Impacts</t>
  </si>
  <si>
    <t>Test Year ended December 2022 (F2021)</t>
  </si>
  <si>
    <t>2022 Schedule 95A Lighting Workpapers</t>
  </si>
  <si>
    <t>Test Year Ended December 31, 2022</t>
  </si>
  <si>
    <t>2021 Revenue Requirement</t>
  </si>
  <si>
    <t>kWh
Source: F2021 January 2022 to December 2022</t>
  </si>
  <si>
    <t>Estimated Net Revenue @
Rates Effective
10-1-2021
(*Note 1)</t>
  </si>
  <si>
    <t>Sch 95a
Effective
Jan 1, 2021
$ per kWh</t>
  </si>
  <si>
    <t>Proposed 
Sch 95a
Effective
January 1, 2022
$ per kWh</t>
  </si>
  <si>
    <t>Revenue Including
Sch 95a
Eff 1-1-21</t>
  </si>
  <si>
    <t>Revenue
Including
Proposed
Sch 95a
Effective 1-1-22</t>
  </si>
  <si>
    <t>Advice No. 21-xxxx</t>
  </si>
  <si>
    <t>*Note 1:  Estimated Net Revenue Includes Sch 95 (PCA/PCORC), Sch 120 (DSM), Sch 129 (Low Income), Sch 132 (Merger Credit), Sch 137 (RECs), Sch 140 (Property Tax), 
Sch 141X (Excess Def Tax), Sch 141Z (Unprotected EDIT), Sch 142 (Decoupling &amp; Rate Plan), Sch 194 (Residential Exchange Benefit) and excludes Sch 95a (Fed Incentive Tracker)</t>
  </si>
  <si>
    <t>2019 GRC Weighted Allocation (Docket No. UE-190529)</t>
  </si>
  <si>
    <t>95-F</t>
  </si>
  <si>
    <t>95-G</t>
  </si>
  <si>
    <t>Tariff Sheet No. Reference</t>
  </si>
  <si>
    <t>95-M</t>
  </si>
  <si>
    <t>95-H</t>
  </si>
  <si>
    <t>95-I</t>
  </si>
  <si>
    <t>n/a</t>
  </si>
  <si>
    <t>95-J</t>
  </si>
  <si>
    <t>95-K</t>
  </si>
  <si>
    <t>95-L</t>
  </si>
  <si>
    <t>Present Rates Effective 11/01/2021</t>
  </si>
  <si>
    <t>Proposed Rates Effective 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</si>
</sst>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
    <numFmt numFmtId="167" formatCode="_(&quot;$&quot;* #,##0.000000_);_(&quot;$&quot;* \(#,##0.000000\);_(&quot;$&quot;* &quot;-&quot;??_);_(@_)"/>
    <numFmt numFmtId="168" formatCode="_(&quot;$&quot;* #,##0.00000_);_(&quot;$&quot;* \(#,##0.00000\);_(&quot;$&quot;* &quot;-&quot;??_);_(@_)"/>
    <numFmt numFmtId="169" formatCode="_(* #,##0.000000_);_(* \(#,##0.000000\);_(* &quot;-&quot;??_);_(@_)"/>
    <numFmt numFmtId="170" formatCode="mmmm\ dd\,\ yyyy"/>
    <numFmt numFmtId="171" formatCode="#,##0.0000"/>
    <numFmt numFmtId="172" formatCode="0.00000"/>
    <numFmt numFmtId="173" formatCode="[$-409]mmm\-yy;@"/>
    <numFmt numFmtId="174" formatCode="_(&quot;$&quot;* #,##0.000000_);_(&quot;$&quot;* \(#,##0.000000\);_(&quot;$&quot;* &quot;-&quot;??????_);_(@_)"/>
    <numFmt numFmtId="175" formatCode="0.000%"/>
    <numFmt numFmtId="176" formatCode="0.0%"/>
  </numFmts>
  <fonts count="36"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8"/>
      <name val="Arial"/>
      <family val="2"/>
    </font>
    <font>
      <b/>
      <sz val="22"/>
      <name val="Arial"/>
      <family val="2"/>
    </font>
    <font>
      <sz val="10"/>
      <name val="Times New Roman"/>
      <family val="1"/>
    </font>
    <font>
      <sz val="8"/>
      <name val="Arial"/>
      <family val="2"/>
    </font>
    <font>
      <sz val="11"/>
      <name val="Calibri"/>
      <family val="2"/>
      <scheme val="minor"/>
    </font>
    <font>
      <sz val="12"/>
      <name val="Arial"/>
      <family val="2"/>
    </font>
    <font>
      <b/>
      <i/>
      <sz val="11"/>
      <name val="Calibri"/>
      <family val="2"/>
      <scheme val="minor"/>
    </font>
    <font>
      <b/>
      <sz val="11"/>
      <name val="Calibri"/>
      <family val="2"/>
      <scheme val="minor"/>
    </font>
    <font>
      <sz val="9"/>
      <name val="Times New Roman"/>
      <family val="1"/>
    </font>
    <font>
      <sz val="10"/>
      <name val="Arial"/>
      <family val="2"/>
    </font>
    <font>
      <sz val="11"/>
      <color rgb="FF0070C0"/>
      <name val="Calibri"/>
      <family val="2"/>
      <scheme val="minor"/>
    </font>
    <font>
      <b/>
      <sz val="11"/>
      <color theme="1"/>
      <name val="Calibri"/>
      <family val="2"/>
      <scheme val="minor"/>
    </font>
    <font>
      <b/>
      <sz val="11"/>
      <color indexed="8"/>
      <name val="Calibri"/>
      <family val="2"/>
    </font>
    <font>
      <b/>
      <sz val="16"/>
      <color indexed="8"/>
      <name val="Calibri"/>
      <family val="2"/>
    </font>
    <font>
      <b/>
      <sz val="11"/>
      <color rgb="FF0000FF"/>
      <name val="Calibri"/>
      <family val="2"/>
    </font>
    <font>
      <b/>
      <i/>
      <sz val="11"/>
      <color theme="1"/>
      <name val="Calibri"/>
      <family val="2"/>
      <scheme val="minor"/>
    </font>
    <font>
      <sz val="11"/>
      <color indexed="8"/>
      <name val="Symbol"/>
      <family val="1"/>
      <charset val="2"/>
    </font>
    <font>
      <b/>
      <sz val="12"/>
      <color theme="0"/>
      <name val="Calibri"/>
      <family val="2"/>
      <scheme val="minor"/>
    </font>
    <font>
      <sz val="8"/>
      <color theme="1"/>
      <name val="Calibri"/>
      <family val="2"/>
      <scheme val="minor"/>
    </font>
    <font>
      <sz val="11"/>
      <color indexed="8"/>
      <name val="Calibri"/>
      <family val="2"/>
    </font>
    <font>
      <b/>
      <sz val="10"/>
      <color rgb="FFFF0000"/>
      <name val="Arial"/>
      <family val="2"/>
    </font>
    <font>
      <b/>
      <sz val="9"/>
      <color indexed="81"/>
      <name val="Tahoma"/>
      <family val="2"/>
    </font>
    <font>
      <sz val="9"/>
      <color indexed="81"/>
      <name val="Tahoma"/>
      <family val="2"/>
    </font>
    <font>
      <i/>
      <sz val="9"/>
      <name val="Arial"/>
      <family val="2"/>
    </font>
    <font>
      <sz val="10"/>
      <color rgb="FFFF0000"/>
      <name val="Arial"/>
      <family val="2"/>
    </font>
    <font>
      <sz val="8"/>
      <color rgb="FFFF0000"/>
      <name val="Arial"/>
      <family val="2"/>
    </font>
    <font>
      <sz val="9"/>
      <color theme="1"/>
      <name val="Calibri"/>
      <family val="2"/>
      <scheme val="minor"/>
    </font>
    <font>
      <sz val="11"/>
      <color rgb="FFFF0000"/>
      <name val="Calibri"/>
      <family val="2"/>
      <scheme val="minor"/>
    </font>
    <font>
      <sz val="9"/>
      <color indexed="81"/>
      <name val="Tahoma"/>
      <charset val="1"/>
    </font>
    <font>
      <b/>
      <sz val="9"/>
      <color indexed="81"/>
      <name val="Tahoma"/>
      <charset val="1"/>
    </font>
  </fonts>
  <fills count="12">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indexed="42"/>
        <bgColor indexed="64"/>
      </patternFill>
    </fill>
    <fill>
      <patternFill patternType="solid">
        <fgColor indexed="47"/>
        <bgColor indexed="64"/>
      </patternFill>
    </fill>
    <fill>
      <patternFill patternType="solid">
        <fgColor theme="8" tint="0.79998168889431442"/>
        <bgColor indexed="64"/>
      </patternFill>
    </fill>
    <fill>
      <patternFill patternType="solid">
        <fgColor theme="9" tint="0.59999389629810485"/>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bottom/>
      <diagonal/>
    </border>
    <border>
      <left style="hair">
        <color auto="1"/>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hair">
        <color auto="1"/>
      </left>
      <right/>
      <top style="medium">
        <color indexed="64"/>
      </top>
      <bottom/>
      <diagonal/>
    </border>
    <border>
      <left style="medium">
        <color indexed="64"/>
      </left>
      <right style="hair">
        <color indexed="64"/>
      </right>
      <top/>
      <bottom style="thin">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auto="1"/>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auto="1"/>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s>
  <cellStyleXfs count="9">
    <xf numFmtId="0" fontId="0" fillId="0" borderId="0"/>
    <xf numFmtId="44" fontId="15"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1" fillId="0" borderId="0"/>
    <xf numFmtId="44" fontId="1" fillId="0" borderId="0" applyFont="0" applyFill="0" applyBorder="0" applyAlignment="0" applyProtection="0"/>
  </cellStyleXfs>
  <cellXfs count="459">
    <xf numFmtId="0" fontId="0" fillId="0" borderId="0" xfId="0"/>
    <xf numFmtId="0" fontId="8" fillId="0" borderId="0" xfId="0" applyFont="1" applyFill="1" applyAlignment="1">
      <alignment horizontal="center"/>
    </xf>
    <xf numFmtId="0" fontId="7" fillId="0" borderId="0" xfId="0" applyFont="1" applyFill="1" applyAlignment="1">
      <alignment horizontal="center"/>
    </xf>
    <xf numFmtId="0" fontId="7" fillId="0" borderId="0" xfId="0" quotePrefix="1" applyFont="1" applyFill="1" applyAlignment="1">
      <alignment horizontal="center"/>
    </xf>
    <xf numFmtId="0" fontId="8" fillId="0" borderId="0" xfId="0" applyFont="1" applyFill="1"/>
    <xf numFmtId="0" fontId="8" fillId="0" borderId="0" xfId="0" applyFont="1" applyFill="1" applyAlignment="1">
      <alignment horizontal="center" wrapText="1"/>
    </xf>
    <xf numFmtId="170" fontId="7" fillId="0" borderId="0" xfId="0" quotePrefix="1" applyNumberFormat="1" applyFont="1" applyFill="1" applyAlignment="1">
      <alignment horizontal="center"/>
    </xf>
    <xf numFmtId="0" fontId="3" fillId="0" borderId="8" xfId="0" applyFont="1" applyFill="1" applyBorder="1" applyAlignment="1">
      <alignment horizontal="centerContinuous"/>
    </xf>
    <xf numFmtId="0" fontId="3" fillId="0" borderId="9" xfId="0" applyFont="1" applyFill="1" applyBorder="1" applyAlignment="1">
      <alignment horizontal="centerContinuous"/>
    </xf>
    <xf numFmtId="0" fontId="3" fillId="0" borderId="10" xfId="0" applyFont="1" applyFill="1" applyBorder="1" applyAlignment="1">
      <alignment horizontal="centerContinuous"/>
    </xf>
    <xf numFmtId="0" fontId="3" fillId="0" borderId="11" xfId="0" applyFont="1" applyFill="1" applyBorder="1" applyAlignment="1">
      <alignment horizontal="centerContinuous"/>
    </xf>
    <xf numFmtId="0" fontId="3" fillId="0" borderId="0" xfId="0" applyFont="1" applyFill="1" applyBorder="1" applyAlignment="1">
      <alignment horizontal="centerContinuous"/>
    </xf>
    <xf numFmtId="0" fontId="3" fillId="0" borderId="12" xfId="0" applyFont="1" applyFill="1" applyBorder="1" applyAlignment="1">
      <alignment horizontal="centerContinuous"/>
    </xf>
    <xf numFmtId="0" fontId="3" fillId="0" borderId="11" xfId="0"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xf>
    <xf numFmtId="0" fontId="3" fillId="0" borderId="12" xfId="0" applyFont="1" applyFill="1" applyBorder="1"/>
    <xf numFmtId="0" fontId="3" fillId="0" borderId="11" xfId="0" applyFont="1" applyFill="1" applyBorder="1" applyAlignment="1">
      <alignment horizontal="center" wrapText="1"/>
    </xf>
    <xf numFmtId="0" fontId="3" fillId="0" borderId="0" xfId="0" applyFont="1" applyFill="1" applyBorder="1" applyAlignment="1">
      <alignment horizontal="center" wrapText="1"/>
    </xf>
    <xf numFmtId="164" fontId="3" fillId="0" borderId="0" xfId="0" quotePrefix="1" applyNumberFormat="1" applyFont="1" applyFill="1" applyBorder="1" applyAlignment="1">
      <alignment horizontal="center" wrapText="1"/>
    </xf>
    <xf numFmtId="0" fontId="3" fillId="0" borderId="0" xfId="0" quotePrefix="1" applyFont="1" applyFill="1" applyBorder="1" applyAlignment="1">
      <alignment horizontal="center" wrapText="1"/>
    </xf>
    <xf numFmtId="0" fontId="3" fillId="0" borderId="12" xfId="0" quotePrefix="1" applyFont="1" applyFill="1" applyBorder="1" applyAlignment="1">
      <alignment horizontal="center" wrapText="1"/>
    </xf>
    <xf numFmtId="0" fontId="3" fillId="0" borderId="13" xfId="0" applyFont="1" applyFill="1" applyBorder="1" applyAlignment="1">
      <alignment horizontal="center" wrapText="1"/>
    </xf>
    <xf numFmtId="0" fontId="3" fillId="0" borderId="4" xfId="0" applyFont="1" applyFill="1" applyBorder="1" applyAlignment="1">
      <alignment horizontal="center" wrapText="1"/>
    </xf>
    <xf numFmtId="0" fontId="3" fillId="0" borderId="4" xfId="0" quotePrefix="1" applyFont="1" applyFill="1" applyBorder="1" applyAlignment="1">
      <alignment horizontal="center" wrapText="1"/>
    </xf>
    <xf numFmtId="164" fontId="3" fillId="0" borderId="4" xfId="0" quotePrefix="1" applyNumberFormat="1" applyFont="1" applyFill="1" applyBorder="1" applyAlignment="1">
      <alignment horizontal="center" wrapText="1"/>
    </xf>
    <xf numFmtId="0" fontId="3" fillId="0" borderId="14" xfId="0" applyFont="1" applyFill="1" applyBorder="1" applyAlignment="1">
      <alignment horizontal="center" wrapText="1"/>
    </xf>
    <xf numFmtId="0" fontId="3" fillId="0" borderId="11" xfId="0" applyFont="1" applyFill="1" applyBorder="1" applyAlignment="1">
      <alignment horizontal="center" vertical="top" wrapText="1"/>
    </xf>
    <xf numFmtId="0" fontId="3" fillId="0" borderId="0" xfId="0" applyFont="1" applyFill="1" applyBorder="1" applyAlignment="1">
      <alignment horizontal="center" vertical="top" wrapText="1"/>
    </xf>
    <xf numFmtId="164" fontId="3" fillId="0" borderId="0" xfId="0" quotePrefix="1" applyNumberFormat="1" applyFont="1" applyFill="1" applyBorder="1" applyAlignment="1">
      <alignment horizontal="center" vertical="top" wrapText="1"/>
    </xf>
    <xf numFmtId="164" fontId="3" fillId="0" borderId="0" xfId="0" applyNumberFormat="1" applyFont="1" applyFill="1" applyBorder="1" applyAlignment="1">
      <alignment horizontal="center" vertical="top" wrapText="1"/>
    </xf>
    <xf numFmtId="0" fontId="3" fillId="0" borderId="12" xfId="0" quotePrefix="1" applyFont="1" applyFill="1" applyBorder="1" applyAlignment="1">
      <alignment horizontal="center" vertical="top" wrapText="1"/>
    </xf>
    <xf numFmtId="165" fontId="3" fillId="0" borderId="0" xfId="0" applyNumberFormat="1" applyFont="1" applyFill="1" applyBorder="1"/>
    <xf numFmtId="167" fontId="3" fillId="0" borderId="0" xfId="0" applyNumberFormat="1" applyFont="1" applyFill="1" applyBorder="1"/>
    <xf numFmtId="10" fontId="3" fillId="0" borderId="12" xfId="0" applyNumberFormat="1" applyFont="1" applyFill="1" applyBorder="1"/>
    <xf numFmtId="166" fontId="3" fillId="0" borderId="0" xfId="0" applyNumberFormat="1" applyFont="1" applyFill="1" applyBorder="1"/>
    <xf numFmtId="0" fontId="3" fillId="0" borderId="0" xfId="0" quotePrefix="1" applyFont="1" applyFill="1" applyBorder="1" applyAlignment="1">
      <alignment horizontal="left" indent="1"/>
    </xf>
    <xf numFmtId="0" fontId="3" fillId="0" borderId="0" xfId="0" applyFont="1" applyFill="1" applyBorder="1" applyAlignment="1">
      <alignment horizontal="left" indent="1"/>
    </xf>
    <xf numFmtId="0" fontId="3" fillId="0" borderId="0" xfId="0" quotePrefix="1" applyFont="1" applyFill="1" applyBorder="1" applyAlignment="1">
      <alignment horizontal="center"/>
    </xf>
    <xf numFmtId="0" fontId="3" fillId="0" borderId="0" xfId="0" quotePrefix="1" applyFont="1" applyFill="1" applyBorder="1" applyAlignment="1">
      <alignment horizontal="left"/>
    </xf>
    <xf numFmtId="0" fontId="3" fillId="0" borderId="0" xfId="0" applyFont="1" applyFill="1" applyBorder="1" applyAlignment="1">
      <alignment horizontal="left"/>
    </xf>
    <xf numFmtId="0" fontId="3" fillId="0" borderId="0" xfId="0" quotePrefix="1" applyFont="1" applyFill="1" applyBorder="1" applyAlignment="1"/>
    <xf numFmtId="0" fontId="3" fillId="0" borderId="13" xfId="0" applyFont="1" applyFill="1" applyBorder="1" applyAlignment="1">
      <alignment horizontal="center"/>
    </xf>
    <xf numFmtId="0" fontId="3" fillId="0" borderId="4" xfId="0" applyFont="1" applyFill="1" applyBorder="1"/>
    <xf numFmtId="0" fontId="3" fillId="0" borderId="4" xfId="0" applyFont="1" applyFill="1" applyBorder="1" applyAlignment="1">
      <alignment horizontal="center"/>
    </xf>
    <xf numFmtId="164" fontId="3" fillId="0" borderId="4" xfId="0" applyNumberFormat="1" applyFont="1" applyFill="1" applyBorder="1"/>
    <xf numFmtId="165" fontId="3" fillId="0" borderId="4" xfId="0" applyNumberFormat="1" applyFont="1" applyFill="1" applyBorder="1"/>
    <xf numFmtId="0" fontId="3" fillId="0" borderId="14" xfId="0" applyFont="1" applyFill="1" applyBorder="1"/>
    <xf numFmtId="164" fontId="8" fillId="0" borderId="0" xfId="0" applyNumberFormat="1" applyFont="1" applyFill="1"/>
    <xf numFmtId="0" fontId="8" fillId="0" borderId="6" xfId="0" applyFont="1" applyFill="1" applyBorder="1" applyAlignment="1">
      <alignment horizontal="center" wrapText="1"/>
    </xf>
    <xf numFmtId="0" fontId="8" fillId="0" borderId="6" xfId="0" quotePrefix="1" applyFont="1" applyFill="1" applyBorder="1" applyAlignment="1">
      <alignment horizontal="center" wrapText="1"/>
    </xf>
    <xf numFmtId="0" fontId="8" fillId="0" borderId="0" xfId="0" applyFont="1" applyFill="1" applyBorder="1" applyAlignment="1">
      <alignment horizontal="center"/>
    </xf>
    <xf numFmtId="0" fontId="8" fillId="0" borderId="0" xfId="0" quotePrefix="1" applyFont="1" applyFill="1" applyBorder="1" applyAlignment="1">
      <alignment horizontal="center"/>
    </xf>
    <xf numFmtId="0" fontId="8" fillId="0" borderId="0" xfId="0" applyFont="1" applyFill="1" applyBorder="1"/>
    <xf numFmtId="0" fontId="8" fillId="0" borderId="0" xfId="0" quotePrefix="1" applyFont="1" applyFill="1" applyBorder="1" applyAlignment="1">
      <alignment horizontal="left"/>
    </xf>
    <xf numFmtId="0" fontId="8" fillId="0" borderId="0" xfId="0" quotePrefix="1" applyFont="1" applyFill="1" applyBorder="1" applyAlignment="1">
      <alignment horizontal="left" indent="1"/>
    </xf>
    <xf numFmtId="0" fontId="8" fillId="0" borderId="0" xfId="0" quotePrefix="1" applyFont="1" applyFill="1" applyBorder="1" applyAlignment="1">
      <alignment horizontal="right" wrapText="1"/>
    </xf>
    <xf numFmtId="0" fontId="8" fillId="0" borderId="0" xfId="0" applyFont="1" applyFill="1" applyBorder="1" applyAlignment="1">
      <alignment horizontal="center" wrapText="1"/>
    </xf>
    <xf numFmtId="0" fontId="8" fillId="0" borderId="0" xfId="0" quotePrefix="1" applyFont="1" applyFill="1" applyBorder="1" applyAlignment="1">
      <alignment horizontal="center" wrapText="1"/>
    </xf>
    <xf numFmtId="164" fontId="8" fillId="0" borderId="0" xfId="0" applyNumberFormat="1" applyFont="1" applyFill="1" applyBorder="1" applyAlignment="1"/>
    <xf numFmtId="164" fontId="8" fillId="0" borderId="0" xfId="0" applyNumberFormat="1" applyFont="1" applyFill="1" applyBorder="1" applyAlignment="1">
      <alignment horizontal="center"/>
    </xf>
    <xf numFmtId="0" fontId="8" fillId="0" borderId="0" xfId="0" applyNumberFormat="1" applyFont="1" applyFill="1" applyBorder="1"/>
    <xf numFmtId="0" fontId="8" fillId="0" borderId="0" xfId="0" applyFont="1" applyFill="1" applyBorder="1" applyAlignment="1"/>
    <xf numFmtId="164" fontId="8" fillId="0" borderId="0" xfId="0" applyNumberFormat="1"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indent="1"/>
    </xf>
    <xf numFmtId="164" fontId="14" fillId="0" borderId="0" xfId="0" applyNumberFormat="1" applyFont="1" applyFill="1" applyBorder="1"/>
    <xf numFmtId="0" fontId="3" fillId="0" borderId="6" xfId="0" quotePrefix="1" applyFont="1" applyFill="1" applyBorder="1" applyAlignment="1">
      <alignment horizontal="center" wrapText="1"/>
    </xf>
    <xf numFmtId="0" fontId="3" fillId="0" borderId="0" xfId="0" applyFont="1" applyFill="1" applyAlignment="1">
      <alignment horizontal="center"/>
    </xf>
    <xf numFmtId="0" fontId="3" fillId="0" borderId="0" xfId="0" applyFont="1" applyFill="1"/>
    <xf numFmtId="164" fontId="3" fillId="0" borderId="0" xfId="0" applyNumberFormat="1" applyFont="1" applyFill="1" applyBorder="1"/>
    <xf numFmtId="0" fontId="3" fillId="0" borderId="0" xfId="0" applyFont="1" applyFill="1" applyAlignment="1">
      <alignment horizontal="left"/>
    </xf>
    <xf numFmtId="0" fontId="3" fillId="0" borderId="0" xfId="0" quotePrefix="1" applyFont="1" applyFill="1" applyAlignment="1">
      <alignment horizontal="center"/>
    </xf>
    <xf numFmtId="0" fontId="3" fillId="0" borderId="12" xfId="0" applyFont="1" applyFill="1" applyBorder="1" applyAlignment="1">
      <alignment horizontal="center"/>
    </xf>
    <xf numFmtId="0" fontId="10" fillId="0" borderId="0" xfId="0" applyFont="1" applyFill="1"/>
    <xf numFmtId="164" fontId="10" fillId="0" borderId="0" xfId="0" applyNumberFormat="1" applyFont="1" applyFill="1"/>
    <xf numFmtId="164" fontId="3" fillId="0" borderId="0" xfId="0" applyNumberFormat="1" applyFont="1" applyFill="1"/>
    <xf numFmtId="0" fontId="8" fillId="0" borderId="0" xfId="0" quotePrefix="1" applyFont="1" applyFill="1" applyAlignment="1">
      <alignment horizontal="center"/>
    </xf>
    <xf numFmtId="0" fontId="8" fillId="0" borderId="0" xfId="0" quotePrefix="1" applyFont="1" applyFill="1" applyAlignment="1">
      <alignment horizontal="center" wrapText="1"/>
    </xf>
    <xf numFmtId="0" fontId="8" fillId="0" borderId="0" xfId="0" quotePrefix="1" applyFont="1" applyFill="1" applyAlignment="1">
      <alignment horizontal="left"/>
    </xf>
    <xf numFmtId="41" fontId="8" fillId="0" borderId="0" xfId="0" applyNumberFormat="1" applyFont="1" applyFill="1"/>
    <xf numFmtId="165" fontId="8" fillId="0" borderId="0" xfId="0" applyNumberFormat="1" applyFont="1" applyFill="1"/>
    <xf numFmtId="0" fontId="3" fillId="0" borderId="6" xfId="0" applyFont="1" applyFill="1" applyBorder="1" applyAlignment="1">
      <alignment horizontal="center" wrapText="1"/>
    </xf>
    <xf numFmtId="17" fontId="3" fillId="0" borderId="6" xfId="0" quotePrefix="1" applyNumberFormat="1" applyFont="1" applyFill="1" applyBorder="1" applyAlignment="1">
      <alignment horizontal="center" wrapText="1"/>
    </xf>
    <xf numFmtId="164" fontId="3"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5" fontId="3" fillId="0" borderId="0" xfId="0" applyNumberFormat="1" applyFont="1" applyFill="1"/>
    <xf numFmtId="0" fontId="3" fillId="0" borderId="0" xfId="0" applyFont="1" applyFill="1" applyAlignment="1">
      <alignment horizontal="left" indent="1"/>
    </xf>
    <xf numFmtId="164" fontId="3" fillId="0" borderId="2" xfId="0" applyNumberFormat="1" applyFont="1" applyFill="1" applyBorder="1"/>
    <xf numFmtId="165" fontId="3" fillId="0" borderId="2" xfId="0" applyNumberFormat="1" applyFont="1" applyFill="1" applyBorder="1"/>
    <xf numFmtId="0" fontId="3" fillId="0" borderId="0" xfId="0" quotePrefix="1" applyFont="1" applyFill="1" applyAlignment="1">
      <alignment horizontal="left"/>
    </xf>
    <xf numFmtId="0" fontId="3" fillId="0" borderId="0" xfId="0" quotePrefix="1" applyFont="1" applyFill="1" applyAlignment="1">
      <alignment horizontal="left" indent="1"/>
    </xf>
    <xf numFmtId="164" fontId="3" fillId="0" borderId="5" xfId="0" applyNumberFormat="1" applyFont="1" applyFill="1" applyBorder="1"/>
    <xf numFmtId="165" fontId="3" fillId="0" borderId="5" xfId="0" applyNumberFormat="1" applyFont="1" applyFill="1" applyBorder="1"/>
    <xf numFmtId="0" fontId="3" fillId="0" borderId="14" xfId="0" quotePrefix="1" applyFont="1" applyFill="1" applyBorder="1" applyAlignment="1">
      <alignment horizontal="center" wrapText="1"/>
    </xf>
    <xf numFmtId="169" fontId="3" fillId="0" borderId="0" xfId="0" applyNumberFormat="1" applyFont="1" applyFill="1" applyBorder="1"/>
    <xf numFmtId="167" fontId="3" fillId="0" borderId="12" xfId="0" applyNumberFormat="1" applyFont="1" applyFill="1" applyBorder="1" applyAlignment="1">
      <alignment horizontal="center"/>
    </xf>
    <xf numFmtId="16" fontId="3" fillId="0" borderId="0" xfId="0" applyNumberFormat="1" applyFont="1" applyFill="1" applyBorder="1"/>
    <xf numFmtId="166" fontId="3" fillId="0" borderId="12" xfId="0" applyNumberFormat="1" applyFont="1" applyFill="1" applyBorder="1" applyAlignment="1">
      <alignment horizontal="center"/>
    </xf>
    <xf numFmtId="165" fontId="3" fillId="0" borderId="12" xfId="0" applyNumberFormat="1" applyFont="1" applyFill="1" applyBorder="1"/>
    <xf numFmtId="44" fontId="10" fillId="0" borderId="0" xfId="0" applyNumberFormat="1" applyFont="1" applyFill="1"/>
    <xf numFmtId="0" fontId="13" fillId="0" borderId="23" xfId="0" applyFont="1" applyFill="1" applyBorder="1" applyAlignment="1">
      <alignment horizontal="center"/>
    </xf>
    <xf numFmtId="169" fontId="13" fillId="0" borderId="39" xfId="0" applyNumberFormat="1" applyFont="1" applyFill="1" applyBorder="1" applyAlignment="1">
      <alignment horizontal="center"/>
    </xf>
    <xf numFmtId="169" fontId="10" fillId="0" borderId="0" xfId="0" applyNumberFormat="1" applyFont="1" applyFill="1"/>
    <xf numFmtId="165" fontId="10" fillId="0" borderId="0" xfId="0" applyNumberFormat="1" applyFont="1" applyFill="1"/>
    <xf numFmtId="0" fontId="10" fillId="0" borderId="0" xfId="0" applyFont="1" applyFill="1" applyAlignment="1">
      <alignment horizontal="center"/>
    </xf>
    <xf numFmtId="168" fontId="10" fillId="0" borderId="0" xfId="0" applyNumberFormat="1" applyFont="1" applyFill="1"/>
    <xf numFmtId="0" fontId="3"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12" xfId="0" quotePrefix="1" applyFont="1" applyFill="1" applyBorder="1" applyAlignment="1">
      <alignment horizontal="center" vertical="center" wrapText="1"/>
    </xf>
    <xf numFmtId="0" fontId="3" fillId="0" borderId="0" xfId="0" applyFont="1" applyFill="1" applyAlignment="1">
      <alignment horizontal="center"/>
    </xf>
    <xf numFmtId="169" fontId="16" fillId="2" borderId="0" xfId="0" applyNumberFormat="1" applyFont="1" applyFill="1"/>
    <xf numFmtId="0" fontId="3" fillId="0" borderId="0" xfId="0" applyFont="1" applyFill="1" applyBorder="1" applyAlignment="1">
      <alignment horizontal="center"/>
    </xf>
    <xf numFmtId="165" fontId="3" fillId="0" borderId="0" xfId="1" applyNumberFormat="1" applyFont="1" applyFill="1" applyBorder="1" applyAlignment="1">
      <alignment horizontal="center" wrapText="1"/>
    </xf>
    <xf numFmtId="165" fontId="3" fillId="0" borderId="0" xfId="1" applyNumberFormat="1" applyFont="1" applyFill="1" applyBorder="1"/>
    <xf numFmtId="165" fontId="3" fillId="0" borderId="0" xfId="0" applyNumberFormat="1" applyFont="1" applyFill="1" applyBorder="1" applyAlignment="1">
      <alignment horizontal="center" wrapText="1"/>
    </xf>
    <xf numFmtId="0" fontId="3" fillId="0" borderId="0" xfId="0" applyFont="1" applyFill="1" applyAlignment="1">
      <alignment horizontal="center"/>
    </xf>
    <xf numFmtId="0" fontId="11" fillId="0" borderId="0" xfId="2" applyFont="1" applyAlignment="1">
      <alignment horizontal="centerContinuous"/>
    </xf>
    <xf numFmtId="0" fontId="11" fillId="0" borderId="0" xfId="2" applyFont="1" applyAlignment="1"/>
    <xf numFmtId="0" fontId="3" fillId="4" borderId="8" xfId="2" applyFont="1" applyFill="1" applyBorder="1" applyAlignment="1"/>
    <xf numFmtId="3" fontId="3" fillId="5" borderId="10" xfId="2" applyNumberFormat="1" applyFont="1" applyFill="1" applyBorder="1" applyAlignment="1"/>
    <xf numFmtId="0" fontId="3" fillId="4" borderId="8" xfId="2" applyFont="1" applyFill="1" applyBorder="1" applyAlignment="1">
      <alignment horizontal="left"/>
    </xf>
    <xf numFmtId="0" fontId="11" fillId="6" borderId="9" xfId="2" applyFont="1" applyFill="1" applyBorder="1" applyAlignment="1">
      <alignment horizontal="center"/>
    </xf>
    <xf numFmtId="3" fontId="3" fillId="0" borderId="10" xfId="2" applyNumberFormat="1" applyFont="1" applyBorder="1" applyAlignment="1">
      <alignment horizontal="right"/>
    </xf>
    <xf numFmtId="0" fontId="3" fillId="4" borderId="11" xfId="2" applyFont="1" applyFill="1" applyBorder="1" applyAlignment="1"/>
    <xf numFmtId="3" fontId="3" fillId="0" borderId="29" xfId="2" applyNumberFormat="1" applyFont="1" applyBorder="1" applyAlignment="1"/>
    <xf numFmtId="0" fontId="3" fillId="4" borderId="11" xfId="2" applyFont="1" applyFill="1" applyBorder="1" applyAlignment="1">
      <alignment horizontal="left"/>
    </xf>
    <xf numFmtId="0" fontId="11" fillId="6" borderId="0" xfId="2" applyFont="1" applyFill="1" applyBorder="1" applyAlignment="1">
      <alignment horizontal="center"/>
    </xf>
    <xf numFmtId="3" fontId="3" fillId="0" borderId="12" xfId="2" applyNumberFormat="1" applyFont="1" applyBorder="1" applyAlignment="1">
      <alignment horizontal="right"/>
    </xf>
    <xf numFmtId="0" fontId="3" fillId="4" borderId="13" xfId="2" applyFont="1" applyFill="1" applyBorder="1" applyAlignment="1"/>
    <xf numFmtId="3" fontId="3" fillId="5" borderId="14" xfId="2" applyNumberFormat="1" applyFont="1" applyFill="1" applyBorder="1" applyAlignment="1"/>
    <xf numFmtId="0" fontId="3" fillId="4" borderId="13" xfId="2" applyFont="1" applyFill="1" applyBorder="1" applyAlignment="1">
      <alignment horizontal="left"/>
    </xf>
    <xf numFmtId="0" fontId="11" fillId="6" borderId="4" xfId="2" applyFont="1" applyFill="1" applyBorder="1" applyAlignment="1">
      <alignment horizontal="center"/>
    </xf>
    <xf numFmtId="3" fontId="3" fillId="0" borderId="14" xfId="2" applyNumberFormat="1" applyFont="1" applyBorder="1" applyAlignment="1">
      <alignment horizontal="right"/>
    </xf>
    <xf numFmtId="0" fontId="3" fillId="0" borderId="0" xfId="2" applyFont="1"/>
    <xf numFmtId="0" fontId="3" fillId="0" borderId="0" xfId="2" applyFont="1" applyAlignment="1">
      <alignment horizontal="center"/>
    </xf>
    <xf numFmtId="0" fontId="3" fillId="0" borderId="0" xfId="2" applyFont="1" applyAlignment="1">
      <alignment horizontal="center" wrapText="1"/>
    </xf>
    <xf numFmtId="0" fontId="3" fillId="0" borderId="0" xfId="2" applyFont="1" applyFill="1" applyAlignment="1">
      <alignment horizontal="center"/>
    </xf>
    <xf numFmtId="0" fontId="3" fillId="4" borderId="8" xfId="2" quotePrefix="1" applyFont="1" applyFill="1" applyBorder="1" applyAlignment="1">
      <alignment horizontal="center"/>
    </xf>
    <xf numFmtId="0" fontId="3" fillId="4" borderId="9" xfId="2" quotePrefix="1" applyFont="1" applyFill="1" applyBorder="1" applyAlignment="1">
      <alignment horizontal="center"/>
    </xf>
    <xf numFmtId="0" fontId="3" fillId="0" borderId="10" xfId="2" quotePrefix="1" applyFont="1" applyFill="1" applyBorder="1" applyAlignment="1">
      <alignment horizontal="center"/>
    </xf>
    <xf numFmtId="0" fontId="5" fillId="4" borderId="11" xfId="2" applyFont="1" applyFill="1" applyBorder="1" applyAlignment="1">
      <alignment horizontal="center"/>
    </xf>
    <xf numFmtId="0" fontId="5" fillId="4" borderId="0" xfId="2" applyFont="1" applyFill="1" applyBorder="1" applyAlignment="1">
      <alignment horizontal="center"/>
    </xf>
    <xf numFmtId="0" fontId="5" fillId="0" borderId="12" xfId="2" applyFont="1" applyFill="1" applyBorder="1" applyAlignment="1">
      <alignment horizontal="center"/>
    </xf>
    <xf numFmtId="0" fontId="3" fillId="4" borderId="11" xfId="2" applyFont="1" applyFill="1" applyBorder="1"/>
    <xf numFmtId="0" fontId="3" fillId="4" borderId="0" xfId="2" applyFont="1" applyFill="1" applyBorder="1"/>
    <xf numFmtId="0" fontId="3" fillId="4" borderId="0" xfId="2" applyFont="1" applyFill="1" applyBorder="1" applyAlignment="1">
      <alignment horizontal="center"/>
    </xf>
    <xf numFmtId="0" fontId="4" fillId="4" borderId="11" xfId="2" applyFont="1" applyFill="1" applyBorder="1" applyAlignment="1">
      <alignment horizontal="center"/>
    </xf>
    <xf numFmtId="0" fontId="4" fillId="4" borderId="0" xfId="2" applyFont="1" applyFill="1" applyBorder="1" applyAlignment="1">
      <alignment horizontal="center" wrapText="1"/>
    </xf>
    <xf numFmtId="0" fontId="4" fillId="4" borderId="0" xfId="2" applyFont="1" applyFill="1" applyBorder="1" applyAlignment="1">
      <alignment horizontal="center"/>
    </xf>
    <xf numFmtId="0" fontId="4" fillId="4" borderId="0" xfId="2" quotePrefix="1" applyFont="1" applyFill="1" applyBorder="1" applyAlignment="1">
      <alignment horizontal="center"/>
    </xf>
    <xf numFmtId="0" fontId="4" fillId="0" borderId="12" xfId="2" quotePrefix="1" applyFont="1" applyFill="1" applyBorder="1" applyAlignment="1">
      <alignment horizontal="center"/>
    </xf>
    <xf numFmtId="0" fontId="6" fillId="0" borderId="11" xfId="2" quotePrefix="1" applyFont="1" applyBorder="1" applyAlignment="1">
      <alignment horizontal="center"/>
    </xf>
    <xf numFmtId="0" fontId="6" fillId="0" borderId="0" xfId="2" quotePrefix="1" applyFont="1" applyBorder="1" applyAlignment="1">
      <alignment horizontal="right"/>
    </xf>
    <xf numFmtId="0" fontId="6" fillId="0" borderId="12" xfId="2" quotePrefix="1" applyFont="1" applyFill="1" applyBorder="1" applyAlignment="1">
      <alignment horizontal="right"/>
    </xf>
    <xf numFmtId="0" fontId="4" fillId="0" borderId="40" xfId="2" quotePrefix="1" applyFont="1" applyBorder="1" applyAlignment="1">
      <alignment horizontal="center"/>
    </xf>
    <xf numFmtId="41" fontId="4" fillId="0" borderId="2" xfId="2" applyNumberFormat="1" applyFont="1" applyFill="1" applyBorder="1" applyAlignment="1">
      <alignment horizontal="right"/>
    </xf>
    <xf numFmtId="41" fontId="4" fillId="7" borderId="2" xfId="2" applyNumberFormat="1" applyFont="1" applyFill="1" applyBorder="1" applyAlignment="1">
      <alignment horizontal="right"/>
    </xf>
    <xf numFmtId="10" fontId="4" fillId="0" borderId="2" xfId="2" applyNumberFormat="1" applyFont="1" applyBorder="1" applyAlignment="1">
      <alignment horizontal="right"/>
    </xf>
    <xf numFmtId="37" fontId="4" fillId="0" borderId="2" xfId="2" applyNumberFormat="1" applyFont="1" applyBorder="1" applyAlignment="1">
      <alignment horizontal="right"/>
    </xf>
    <xf numFmtId="37" fontId="4" fillId="0" borderId="41" xfId="2" applyNumberFormat="1" applyFont="1" applyFill="1" applyBorder="1" applyAlignment="1">
      <alignment horizontal="right"/>
    </xf>
    <xf numFmtId="0" fontId="4" fillId="0" borderId="40" xfId="2" applyFont="1" applyBorder="1" applyAlignment="1">
      <alignment horizontal="center"/>
    </xf>
    <xf numFmtId="0" fontId="6" fillId="0" borderId="0" xfId="2" quotePrefix="1" applyFont="1" applyFill="1" applyBorder="1" applyAlignment="1">
      <alignment horizontal="right"/>
    </xf>
    <xf numFmtId="0" fontId="4" fillId="0" borderId="11" xfId="2" applyFont="1" applyBorder="1" applyAlignment="1">
      <alignment horizontal="center"/>
    </xf>
    <xf numFmtId="3" fontId="4" fillId="0" borderId="0" xfId="2" applyNumberFormat="1" applyFont="1" applyBorder="1" applyAlignment="1">
      <alignment horizontal="right"/>
    </xf>
    <xf numFmtId="3" fontId="4" fillId="0" borderId="0" xfId="2" applyNumberFormat="1" applyFont="1" applyFill="1" applyBorder="1" applyAlignment="1">
      <alignment horizontal="right"/>
    </xf>
    <xf numFmtId="3" fontId="4" fillId="0" borderId="0" xfId="2" quotePrefix="1" applyNumberFormat="1" applyFont="1" applyBorder="1" applyAlignment="1">
      <alignment horizontal="right"/>
    </xf>
    <xf numFmtId="3" fontId="4" fillId="0" borderId="12" xfId="2" applyNumberFormat="1" applyFont="1" applyFill="1" applyBorder="1" applyAlignment="1">
      <alignment horizontal="right"/>
    </xf>
    <xf numFmtId="0" fontId="4" fillId="0" borderId="13" xfId="2" applyFont="1" applyBorder="1" applyAlignment="1">
      <alignment horizontal="center"/>
    </xf>
    <xf numFmtId="0" fontId="4" fillId="0" borderId="4" xfId="2" applyFont="1" applyBorder="1" applyAlignment="1">
      <alignment horizontal="center"/>
    </xf>
    <xf numFmtId="0" fontId="4" fillId="0" borderId="4" xfId="2" applyFont="1" applyFill="1" applyBorder="1" applyAlignment="1">
      <alignment horizontal="center"/>
    </xf>
    <xf numFmtId="3" fontId="4" fillId="0" borderId="4" xfId="2" applyNumberFormat="1" applyFont="1" applyBorder="1" applyAlignment="1">
      <alignment horizontal="center"/>
    </xf>
    <xf numFmtId="0" fontId="4" fillId="0" borderId="14" xfId="2" applyFont="1" applyFill="1" applyBorder="1" applyAlignment="1">
      <alignment horizontal="center"/>
    </xf>
    <xf numFmtId="0" fontId="5" fillId="0" borderId="0" xfId="2" applyFont="1" applyAlignment="1">
      <alignment horizontal="left"/>
    </xf>
    <xf numFmtId="0" fontId="4" fillId="0" borderId="20" xfId="2" applyFont="1" applyBorder="1" applyAlignment="1">
      <alignment horizontal="center"/>
    </xf>
    <xf numFmtId="41" fontId="4" fillId="0" borderId="21" xfId="2" applyNumberFormat="1" applyFont="1" applyFill="1" applyBorder="1" applyAlignment="1">
      <alignment horizontal="right"/>
    </xf>
    <xf numFmtId="3" fontId="4" fillId="0" borderId="21" xfId="2" applyNumberFormat="1" applyFont="1" applyBorder="1" applyAlignment="1">
      <alignment horizontal="right"/>
    </xf>
    <xf numFmtId="10" fontId="4" fillId="0" borderId="21" xfId="2" applyNumberFormat="1" applyFont="1" applyBorder="1" applyAlignment="1">
      <alignment horizontal="right"/>
    </xf>
    <xf numFmtId="37" fontId="4" fillId="0" borderId="21" xfId="2" applyNumberFormat="1" applyFont="1" applyBorder="1" applyAlignment="1">
      <alignment horizontal="right"/>
    </xf>
    <xf numFmtId="37" fontId="4" fillId="0" borderId="22" xfId="2" applyNumberFormat="1" applyFont="1" applyFill="1" applyBorder="1" applyAlignment="1">
      <alignment horizontal="right"/>
    </xf>
    <xf numFmtId="3" fontId="4" fillId="0" borderId="2" xfId="2" applyNumberFormat="1" applyFont="1" applyBorder="1" applyAlignment="1">
      <alignment horizontal="right"/>
    </xf>
    <xf numFmtId="37" fontId="4" fillId="0" borderId="27" xfId="2" applyNumberFormat="1" applyFont="1" applyBorder="1" applyAlignment="1">
      <alignment horizontal="right"/>
    </xf>
    <xf numFmtId="41" fontId="4" fillId="0" borderId="0" xfId="2" applyNumberFormat="1" applyFont="1" applyFill="1" applyBorder="1" applyAlignment="1">
      <alignment horizontal="right"/>
    </xf>
    <xf numFmtId="10" fontId="4" fillId="0" borderId="0" xfId="2" applyNumberFormat="1" applyFont="1" applyBorder="1" applyAlignment="1">
      <alignment horizontal="right"/>
    </xf>
    <xf numFmtId="0" fontId="4" fillId="0" borderId="11" xfId="2" quotePrefix="1" applyFont="1" applyBorder="1" applyAlignment="1">
      <alignment horizontal="center"/>
    </xf>
    <xf numFmtId="0" fontId="4" fillId="0" borderId="0" xfId="2" quotePrefix="1" applyFont="1" applyBorder="1" applyAlignment="1">
      <alignment horizontal="center"/>
    </xf>
    <xf numFmtId="0" fontId="4" fillId="0" borderId="12" xfId="2" quotePrefix="1" applyFont="1" applyBorder="1" applyAlignment="1">
      <alignment horizontal="center"/>
    </xf>
    <xf numFmtId="37" fontId="4" fillId="0" borderId="0" xfId="2" applyNumberFormat="1" applyFont="1" applyBorder="1" applyAlignment="1">
      <alignment horizontal="right"/>
    </xf>
    <xf numFmtId="37" fontId="4" fillId="0" borderId="0" xfId="2" quotePrefix="1" applyNumberFormat="1" applyFont="1" applyBorder="1" applyAlignment="1">
      <alignment horizontal="right"/>
    </xf>
    <xf numFmtId="37" fontId="4" fillId="0" borderId="12" xfId="2" applyNumberFormat="1" applyFont="1" applyFill="1" applyBorder="1" applyAlignment="1">
      <alignment horizontal="right"/>
    </xf>
    <xf numFmtId="3" fontId="4" fillId="0" borderId="4" xfId="2" applyNumberFormat="1" applyFont="1" applyBorder="1" applyAlignment="1">
      <alignment horizontal="right"/>
    </xf>
    <xf numFmtId="3" fontId="4" fillId="0" borderId="4" xfId="2" quotePrefix="1" applyNumberFormat="1" applyFont="1" applyBorder="1" applyAlignment="1">
      <alignment horizontal="right"/>
    </xf>
    <xf numFmtId="3" fontId="4" fillId="0" borderId="14" xfId="2" applyNumberFormat="1" applyFont="1" applyFill="1" applyBorder="1" applyAlignment="1">
      <alignment horizontal="right"/>
    </xf>
    <xf numFmtId="0" fontId="4" fillId="0" borderId="0" xfId="2" applyFont="1" applyBorder="1" applyAlignment="1">
      <alignment horizontal="center"/>
    </xf>
    <xf numFmtId="0" fontId="26" fillId="0" borderId="0" xfId="2" applyFont="1" applyBorder="1" applyAlignment="1">
      <alignment horizontal="left"/>
    </xf>
    <xf numFmtId="0" fontId="5" fillId="0" borderId="0" xfId="2" applyFont="1" applyAlignment="1">
      <alignment horizontal="center"/>
    </xf>
    <xf numFmtId="0" fontId="2" fillId="0" borderId="0" xfId="3" applyFill="1"/>
    <xf numFmtId="0" fontId="3" fillId="0" borderId="0" xfId="2" applyFont="1" applyAlignment="1">
      <alignment horizontal="centerContinuous"/>
    </xf>
    <xf numFmtId="0" fontId="3" fillId="0" borderId="0" xfId="2" applyFont="1" applyAlignment="1">
      <alignment horizontal="left"/>
    </xf>
    <xf numFmtId="0" fontId="3" fillId="0" borderId="0" xfId="2" applyFont="1" applyAlignment="1"/>
    <xf numFmtId="0" fontId="5" fillId="4" borderId="8" xfId="2" applyFont="1" applyFill="1" applyBorder="1" applyAlignment="1">
      <alignment horizontal="centerContinuous"/>
    </xf>
    <xf numFmtId="0" fontId="5" fillId="4" borderId="9" xfId="2" applyFont="1" applyFill="1" applyBorder="1" applyAlignment="1">
      <alignment horizontal="centerContinuous"/>
    </xf>
    <xf numFmtId="0" fontId="5" fillId="4" borderId="9" xfId="2" applyFont="1" applyFill="1" applyBorder="1" applyAlignment="1">
      <alignment horizontal="center"/>
    </xf>
    <xf numFmtId="0" fontId="5" fillId="4" borderId="10" xfId="2" applyFont="1" applyFill="1" applyBorder="1" applyAlignment="1">
      <alignment horizontal="center"/>
    </xf>
    <xf numFmtId="3" fontId="3" fillId="0" borderId="10" xfId="2" applyNumberFormat="1" applyFont="1" applyBorder="1"/>
    <xf numFmtId="3" fontId="3" fillId="0" borderId="0" xfId="2" applyNumberFormat="1" applyFont="1" applyAlignment="1"/>
    <xf numFmtId="0" fontId="5" fillId="4" borderId="11" xfId="2" applyFont="1" applyFill="1" applyBorder="1" applyAlignment="1">
      <alignment horizontal="centerContinuous"/>
    </xf>
    <xf numFmtId="0" fontId="5" fillId="4" borderId="0" xfId="2" applyFont="1" applyFill="1" applyBorder="1" applyAlignment="1">
      <alignment horizontal="centerContinuous"/>
    </xf>
    <xf numFmtId="0" fontId="5" fillId="4" borderId="12" xfId="2" applyFont="1" applyFill="1" applyBorder="1" applyAlignment="1">
      <alignment horizontal="center"/>
    </xf>
    <xf numFmtId="3" fontId="3" fillId="5" borderId="12" xfId="2" applyNumberFormat="1" applyFont="1" applyFill="1" applyBorder="1" applyAlignment="1"/>
    <xf numFmtId="0" fontId="3" fillId="4" borderId="0" xfId="2" applyFont="1" applyFill="1" applyBorder="1" applyAlignment="1"/>
    <xf numFmtId="10" fontId="3" fillId="0" borderId="0" xfId="2" applyNumberFormat="1" applyFont="1" applyBorder="1" applyAlignment="1"/>
    <xf numFmtId="10" fontId="3" fillId="0" borderId="12" xfId="2" applyNumberFormat="1" applyFont="1" applyBorder="1" applyAlignment="1"/>
    <xf numFmtId="37" fontId="3" fillId="0" borderId="29" xfId="2" applyNumberFormat="1" applyFont="1" applyBorder="1" applyAlignment="1"/>
    <xf numFmtId="0" fontId="3" fillId="4" borderId="42" xfId="2" applyFont="1" applyFill="1" applyBorder="1" applyAlignment="1"/>
    <xf numFmtId="3" fontId="3" fillId="0" borderId="43" xfId="2" applyNumberFormat="1" applyFont="1" applyBorder="1" applyAlignment="1"/>
    <xf numFmtId="171" fontId="3" fillId="0" borderId="0" xfId="2" applyNumberFormat="1" applyFont="1" applyAlignment="1"/>
    <xf numFmtId="0" fontId="3" fillId="4" borderId="28" xfId="2" applyFont="1" applyFill="1" applyBorder="1" applyAlignment="1"/>
    <xf numFmtId="0" fontId="3" fillId="4" borderId="27" xfId="2" applyFont="1" applyFill="1" applyBorder="1" applyAlignment="1"/>
    <xf numFmtId="10" fontId="3" fillId="0" borderId="27" xfId="2" applyNumberFormat="1" applyFont="1" applyBorder="1" applyAlignment="1"/>
    <xf numFmtId="10" fontId="3" fillId="0" borderId="29" xfId="2" applyNumberFormat="1" applyFont="1" applyBorder="1" applyAlignment="1"/>
    <xf numFmtId="0" fontId="3" fillId="4" borderId="4" xfId="2" applyFont="1" applyFill="1" applyBorder="1" applyAlignment="1">
      <alignment horizontal="centerContinuous"/>
    </xf>
    <xf numFmtId="10" fontId="3" fillId="0" borderId="4" xfId="2" applyNumberFormat="1" applyFont="1" applyBorder="1" applyAlignment="1"/>
    <xf numFmtId="10" fontId="3" fillId="0" borderId="14" xfId="2" applyNumberFormat="1" applyFont="1" applyBorder="1" applyAlignment="1">
      <alignment horizontal="right"/>
    </xf>
    <xf numFmtId="0" fontId="3" fillId="0" borderId="0" xfId="2" applyFont="1" applyFill="1" applyAlignment="1">
      <alignment horizontal="center" wrapText="1"/>
    </xf>
    <xf numFmtId="0" fontId="4" fillId="4" borderId="8" xfId="2" quotePrefix="1" applyFont="1" applyFill="1" applyBorder="1" applyAlignment="1">
      <alignment horizontal="center"/>
    </xf>
    <xf numFmtId="0" fontId="4" fillId="4" borderId="9" xfId="2" quotePrefix="1" applyFont="1" applyFill="1" applyBorder="1" applyAlignment="1">
      <alignment horizontal="center"/>
    </xf>
    <xf numFmtId="0" fontId="4" fillId="4" borderId="10" xfId="2" quotePrefix="1" applyFont="1" applyFill="1" applyBorder="1" applyAlignment="1">
      <alignment horizontal="center"/>
    </xf>
    <xf numFmtId="0" fontId="6" fillId="4" borderId="11" xfId="2" applyFont="1" applyFill="1" applyBorder="1" applyAlignment="1">
      <alignment horizontal="center"/>
    </xf>
    <xf numFmtId="0" fontId="6" fillId="4" borderId="0" xfId="2" applyFont="1" applyFill="1" applyBorder="1" applyAlignment="1">
      <alignment horizontal="center"/>
    </xf>
    <xf numFmtId="0" fontId="6" fillId="4" borderId="12" xfId="2" applyFont="1" applyFill="1" applyBorder="1" applyAlignment="1">
      <alignment horizontal="center"/>
    </xf>
    <xf numFmtId="0" fontId="3" fillId="4" borderId="12" xfId="2" applyFont="1" applyFill="1" applyBorder="1" applyAlignment="1">
      <alignment horizontal="center"/>
    </xf>
    <xf numFmtId="0" fontId="4" fillId="4" borderId="12" xfId="2" quotePrefix="1" applyFont="1" applyFill="1" applyBorder="1" applyAlignment="1">
      <alignment horizontal="center"/>
    </xf>
    <xf numFmtId="0" fontId="6" fillId="0" borderId="12" xfId="2" quotePrefix="1" applyFont="1" applyBorder="1" applyAlignment="1">
      <alignment horizontal="right"/>
    </xf>
    <xf numFmtId="3" fontId="4" fillId="0" borderId="2" xfId="2" applyNumberFormat="1" applyFont="1" applyFill="1" applyBorder="1" applyAlignment="1">
      <alignment horizontal="right"/>
    </xf>
    <xf numFmtId="3" fontId="4" fillId="8" borderId="2" xfId="2" applyNumberFormat="1" applyFont="1" applyFill="1" applyBorder="1" applyAlignment="1">
      <alignment horizontal="right"/>
    </xf>
    <xf numFmtId="172" fontId="4" fillId="0" borderId="2" xfId="2" applyNumberFormat="1" applyFont="1" applyBorder="1" applyAlignment="1">
      <alignment horizontal="right"/>
    </xf>
    <xf numFmtId="10" fontId="4" fillId="0" borderId="41" xfId="2" applyNumberFormat="1" applyFont="1" applyBorder="1" applyAlignment="1">
      <alignment horizontal="right"/>
    </xf>
    <xf numFmtId="172" fontId="4" fillId="0" borderId="0" xfId="2" applyNumberFormat="1" applyFont="1" applyBorder="1" applyAlignment="1">
      <alignment horizontal="right"/>
    </xf>
    <xf numFmtId="10" fontId="4" fillId="0" borderId="12" xfId="2" applyNumberFormat="1" applyFont="1" applyBorder="1" applyAlignment="1">
      <alignment horizontal="right"/>
    </xf>
    <xf numFmtId="0" fontId="4" fillId="0" borderId="14" xfId="2" applyFont="1" applyBorder="1" applyAlignment="1">
      <alignment horizontal="center"/>
    </xf>
    <xf numFmtId="3" fontId="4" fillId="0" borderId="0" xfId="2" applyNumberFormat="1" applyFont="1" applyBorder="1" applyAlignment="1">
      <alignment horizontal="center"/>
    </xf>
    <xf numFmtId="0" fontId="6" fillId="0" borderId="11" xfId="2" applyFont="1" applyBorder="1" applyAlignment="1">
      <alignment horizontal="left"/>
    </xf>
    <xf numFmtId="0" fontId="4" fillId="0" borderId="0" xfId="2" applyFont="1" applyFill="1" applyBorder="1" applyAlignment="1">
      <alignment horizontal="center"/>
    </xf>
    <xf numFmtId="3" fontId="4" fillId="0" borderId="21" xfId="2" applyNumberFormat="1" applyFont="1" applyFill="1" applyBorder="1" applyAlignment="1">
      <alignment horizontal="right"/>
    </xf>
    <xf numFmtId="3" fontId="4" fillId="9" borderId="21" xfId="2" applyNumberFormat="1" applyFont="1" applyFill="1" applyBorder="1" applyAlignment="1">
      <alignment horizontal="right"/>
    </xf>
    <xf numFmtId="172" fontId="4" fillId="0" borderId="21" xfId="2" applyNumberFormat="1" applyFont="1" applyFill="1" applyBorder="1" applyAlignment="1">
      <alignment horizontal="right"/>
    </xf>
    <xf numFmtId="10" fontId="4" fillId="0" borderId="22" xfId="2" applyNumberFormat="1" applyFont="1" applyBorder="1" applyAlignment="1">
      <alignment horizontal="right"/>
    </xf>
    <xf numFmtId="3" fontId="4" fillId="9" borderId="2" xfId="2" applyNumberFormat="1" applyFont="1" applyFill="1" applyBorder="1" applyAlignment="1">
      <alignment horizontal="right"/>
    </xf>
    <xf numFmtId="172" fontId="4" fillId="0" borderId="2" xfId="2" applyNumberFormat="1" applyFont="1" applyFill="1" applyBorder="1" applyAlignment="1">
      <alignment horizontal="right"/>
    </xf>
    <xf numFmtId="0" fontId="4" fillId="0" borderId="0" xfId="2" quotePrefix="1" applyFont="1" applyBorder="1" applyAlignment="1">
      <alignment horizontal="right"/>
    </xf>
    <xf numFmtId="0" fontId="4" fillId="0" borderId="12" xfId="2" quotePrefix="1" applyFont="1" applyBorder="1" applyAlignment="1">
      <alignment horizontal="right"/>
    </xf>
    <xf numFmtId="0" fontId="29" fillId="0" borderId="0" xfId="2" applyFont="1" applyBorder="1" applyAlignment="1">
      <alignment horizontal="left"/>
    </xf>
    <xf numFmtId="0" fontId="29" fillId="0" borderId="0" xfId="2" applyFont="1" applyAlignment="1">
      <alignment horizontal="left"/>
    </xf>
    <xf numFmtId="0" fontId="30" fillId="0" borderId="0" xfId="2" applyFont="1" applyAlignment="1">
      <alignment horizontal="center"/>
    </xf>
    <xf numFmtId="164" fontId="31" fillId="0" borderId="0" xfId="4" applyNumberFormat="1" applyFont="1" applyFill="1" applyBorder="1" applyAlignment="1">
      <alignment horizontal="right"/>
    </xf>
    <xf numFmtId="10" fontId="31" fillId="0" borderId="0" xfId="2" applyNumberFormat="1" applyFont="1" applyFill="1" applyBorder="1" applyAlignment="1">
      <alignment horizontal="right"/>
    </xf>
    <xf numFmtId="0" fontId="30" fillId="0" borderId="27" xfId="2" applyFont="1" applyBorder="1" applyAlignment="1">
      <alignment horizontal="center"/>
    </xf>
    <xf numFmtId="164" fontId="31" fillId="0" borderId="27" xfId="4" applyNumberFormat="1" applyFont="1" applyFill="1" applyBorder="1" applyAlignment="1">
      <alignment horizontal="right"/>
    </xf>
    <xf numFmtId="10" fontId="31" fillId="0" borderId="27" xfId="2" applyNumberFormat="1" applyFont="1" applyFill="1" applyBorder="1" applyAlignment="1">
      <alignment horizontal="right"/>
    </xf>
    <xf numFmtId="173" fontId="2" fillId="0" borderId="0" xfId="3" applyNumberFormat="1" applyFill="1"/>
    <xf numFmtId="14" fontId="2" fillId="0" borderId="0" xfId="3" applyNumberFormat="1" applyFill="1"/>
    <xf numFmtId="164" fontId="0" fillId="0" borderId="0" xfId="4" applyNumberFormat="1" applyFont="1" applyFill="1"/>
    <xf numFmtId="164" fontId="2" fillId="0" borderId="0" xfId="3" applyNumberFormat="1" applyFill="1"/>
    <xf numFmtId="0" fontId="3" fillId="0" borderId="0" xfId="3" applyFont="1"/>
    <xf numFmtId="0" fontId="3" fillId="0" borderId="8" xfId="3" applyFont="1" applyBorder="1" applyAlignment="1">
      <alignment horizontal="center"/>
    </xf>
    <xf numFmtId="0" fontId="3" fillId="0" borderId="9" xfId="3" quotePrefix="1" applyFont="1" applyBorder="1" applyAlignment="1">
      <alignment horizontal="center"/>
    </xf>
    <xf numFmtId="0" fontId="3" fillId="0" borderId="0" xfId="3" applyFont="1" applyAlignment="1">
      <alignment horizontal="center" wrapText="1"/>
    </xf>
    <xf numFmtId="0" fontId="3" fillId="0" borderId="37" xfId="3" applyFont="1" applyFill="1" applyBorder="1" applyAlignment="1">
      <alignment horizontal="center" wrapText="1"/>
    </xf>
    <xf numFmtId="0" fontId="3" fillId="0" borderId="1" xfId="3" quotePrefix="1" applyFont="1" applyFill="1" applyBorder="1" applyAlignment="1">
      <alignment horizontal="center" wrapText="1"/>
    </xf>
    <xf numFmtId="0" fontId="3" fillId="0" borderId="38" xfId="3" quotePrefix="1" applyFont="1" applyFill="1" applyBorder="1" applyAlignment="1">
      <alignment horizontal="center" wrapText="1"/>
    </xf>
    <xf numFmtId="0" fontId="3" fillId="0" borderId="9" xfId="3" applyFont="1" applyBorder="1" applyAlignment="1">
      <alignment horizontal="right"/>
    </xf>
    <xf numFmtId="164" fontId="3" fillId="0" borderId="11" xfId="3" applyNumberFormat="1" applyFont="1" applyFill="1" applyBorder="1"/>
    <xf numFmtId="164" fontId="3" fillId="0" borderId="0" xfId="3" applyNumberFormat="1" applyFont="1" applyFill="1" applyBorder="1"/>
    <xf numFmtId="164" fontId="3" fillId="0" borderId="12" xfId="3" applyNumberFormat="1" applyFont="1" applyFill="1" applyBorder="1"/>
    <xf numFmtId="0" fontId="3" fillId="0" borderId="11" xfId="3" applyFont="1" applyBorder="1" applyAlignment="1">
      <alignment horizontal="center"/>
    </xf>
    <xf numFmtId="0" fontId="3" fillId="0" borderId="0" xfId="3" applyFont="1" applyBorder="1" applyAlignment="1">
      <alignment horizontal="right"/>
    </xf>
    <xf numFmtId="0" fontId="3" fillId="0" borderId="0" xfId="3" quotePrefix="1" applyFont="1" applyBorder="1" applyAlignment="1">
      <alignment horizontal="right"/>
    </xf>
    <xf numFmtId="0" fontId="3" fillId="0" borderId="0" xfId="3" applyFont="1" applyBorder="1"/>
    <xf numFmtId="0" fontId="3" fillId="0" borderId="13" xfId="3" applyFont="1" applyBorder="1"/>
    <xf numFmtId="0" fontId="3" fillId="0" borderId="4" xfId="3" applyFont="1" applyBorder="1"/>
    <xf numFmtId="0" fontId="3" fillId="0" borderId="13" xfId="3" applyFont="1" applyFill="1" applyBorder="1"/>
    <xf numFmtId="0" fontId="3" fillId="0" borderId="4" xfId="3" applyFont="1" applyFill="1" applyBorder="1"/>
    <xf numFmtId="0" fontId="3" fillId="0" borderId="14" xfId="3" applyFont="1" applyFill="1" applyBorder="1"/>
    <xf numFmtId="165" fontId="3" fillId="0" borderId="0" xfId="1" applyNumberFormat="1" applyFont="1" applyFill="1"/>
    <xf numFmtId="165" fontId="3" fillId="0" borderId="2" xfId="1" applyNumberFormat="1" applyFont="1" applyFill="1" applyBorder="1"/>
    <xf numFmtId="165" fontId="3" fillId="0" borderId="5" xfId="1" applyNumberFormat="1" applyFont="1" applyFill="1" applyBorder="1"/>
    <xf numFmtId="17" fontId="3" fillId="0" borderId="27" xfId="0" quotePrefix="1" applyNumberFormat="1" applyFont="1" applyFill="1" applyBorder="1" applyAlignment="1">
      <alignment horizontal="center" wrapText="1"/>
    </xf>
    <xf numFmtId="0" fontId="4" fillId="0" borderId="0" xfId="0" applyFont="1"/>
    <xf numFmtId="0" fontId="4" fillId="0" borderId="0" xfId="0" applyFont="1" applyAlignment="1">
      <alignment horizontal="center" wrapText="1"/>
    </xf>
    <xf numFmtId="44" fontId="4" fillId="0" borderId="0" xfId="0" applyNumberFormat="1" applyFont="1"/>
    <xf numFmtId="174" fontId="4" fillId="0" borderId="0" xfId="0" applyNumberFormat="1" applyFont="1"/>
    <xf numFmtId="0" fontId="4" fillId="0" borderId="0" xfId="0" applyFont="1" applyFill="1"/>
    <xf numFmtId="167" fontId="4" fillId="0" borderId="17" xfId="0" applyNumberFormat="1" applyFont="1" applyFill="1" applyBorder="1"/>
    <xf numFmtId="167" fontId="4" fillId="0" borderId="16" xfId="0" applyNumberFormat="1" applyFont="1" applyFill="1" applyBorder="1"/>
    <xf numFmtId="167" fontId="4" fillId="0" borderId="24" xfId="0" quotePrefix="1" applyNumberFormat="1" applyFont="1" applyFill="1" applyBorder="1" applyAlignment="1"/>
    <xf numFmtId="167" fontId="4" fillId="0" borderId="17" xfId="0" quotePrefix="1" applyNumberFormat="1" applyFont="1" applyFill="1" applyBorder="1" applyAlignment="1"/>
    <xf numFmtId="167" fontId="4" fillId="0" borderId="16" xfId="0" quotePrefix="1" applyNumberFormat="1" applyFont="1" applyFill="1" applyBorder="1" applyAlignment="1"/>
    <xf numFmtId="167" fontId="4" fillId="10" borderId="16" xfId="0" quotePrefix="1" applyNumberFormat="1" applyFont="1" applyFill="1" applyBorder="1" applyAlignment="1"/>
    <xf numFmtId="0" fontId="4" fillId="0" borderId="0" xfId="0" quotePrefix="1" applyFont="1" applyAlignment="1">
      <alignment horizontal="left" indent="2"/>
    </xf>
    <xf numFmtId="0" fontId="4" fillId="0" borderId="15" xfId="0" applyFont="1" applyFill="1" applyBorder="1"/>
    <xf numFmtId="167" fontId="4" fillId="0" borderId="24" xfId="0" applyNumberFormat="1" applyFont="1" applyFill="1" applyBorder="1"/>
    <xf numFmtId="167" fontId="4" fillId="0" borderId="15" xfId="0" applyNumberFormat="1" applyFont="1" applyFill="1" applyBorder="1"/>
    <xf numFmtId="0" fontId="4" fillId="0" borderId="15" xfId="0" quotePrefix="1" applyFont="1" applyBorder="1" applyAlignment="1">
      <alignment horizontal="center" wrapText="1"/>
    </xf>
    <xf numFmtId="0" fontId="4" fillId="11" borderId="3" xfId="0" quotePrefix="1" applyFont="1" applyFill="1" applyBorder="1" applyAlignment="1">
      <alignment horizontal="center" wrapText="1"/>
    </xf>
    <xf numFmtId="0" fontId="4" fillId="0" borderId="27" xfId="0" applyFont="1" applyBorder="1"/>
    <xf numFmtId="0" fontId="4" fillId="0" borderId="27" xfId="0" quotePrefix="1" applyFont="1" applyBorder="1" applyAlignment="1">
      <alignment horizontal="left"/>
    </xf>
    <xf numFmtId="175" fontId="4" fillId="0" borderId="5" xfId="5" applyNumberFormat="1" applyFont="1" applyBorder="1"/>
    <xf numFmtId="44" fontId="4" fillId="0" borderId="5" xfId="0" applyNumberFormat="1" applyFont="1" applyBorder="1"/>
    <xf numFmtId="0" fontId="4" fillId="0" borderId="0" xfId="0" applyFont="1" applyBorder="1" applyAlignment="1"/>
    <xf numFmtId="164" fontId="4" fillId="0" borderId="5" xfId="0" applyNumberFormat="1" applyFont="1" applyBorder="1"/>
    <xf numFmtId="0" fontId="4" fillId="0" borderId="0" xfId="0" applyFont="1" applyAlignment="1">
      <alignment horizontal="left"/>
    </xf>
    <xf numFmtId="164" fontId="4" fillId="0" borderId="5" xfId="0" applyNumberFormat="1" applyFont="1" applyFill="1" applyBorder="1"/>
    <xf numFmtId="0" fontId="4" fillId="0" borderId="0" xfId="0" applyFont="1" applyFill="1" applyAlignment="1">
      <alignment horizontal="left"/>
    </xf>
    <xf numFmtId="175" fontId="4" fillId="0" borderId="0" xfId="5" applyNumberFormat="1" applyFont="1"/>
    <xf numFmtId="44" fontId="4" fillId="0" borderId="5" xfId="6" applyFont="1" applyBorder="1"/>
    <xf numFmtId="0" fontId="4" fillId="0" borderId="0" xfId="0" quotePrefix="1" applyFont="1" applyAlignment="1">
      <alignment horizontal="left"/>
    </xf>
    <xf numFmtId="44" fontId="4" fillId="0" borderId="0" xfId="6" applyFont="1"/>
    <xf numFmtId="164" fontId="4" fillId="0" borderId="0" xfId="0" applyNumberFormat="1" applyFont="1"/>
    <xf numFmtId="0" fontId="4" fillId="0" borderId="27" xfId="0" applyFont="1" applyBorder="1" applyAlignment="1">
      <alignment horizontal="center" wrapText="1"/>
    </xf>
    <xf numFmtId="0" fontId="4" fillId="0" borderId="27" xfId="0" quotePrefix="1" applyFont="1" applyBorder="1" applyAlignment="1">
      <alignment horizontal="center" wrapText="1"/>
    </xf>
    <xf numFmtId="0" fontId="4" fillId="0" borderId="0" xfId="0" applyFont="1" applyAlignment="1"/>
    <xf numFmtId="0" fontId="4" fillId="0" borderId="0" xfId="0" quotePrefix="1" applyFont="1" applyBorder="1" applyAlignment="1">
      <alignment horizontal="center"/>
    </xf>
    <xf numFmtId="0" fontId="4"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xf numFmtId="0" fontId="6" fillId="0" borderId="0" xfId="0" applyFont="1" applyAlignment="1">
      <alignment horizontal="centerContinuous"/>
    </xf>
    <xf numFmtId="164" fontId="4" fillId="0" borderId="0" xfId="0" applyNumberFormat="1" applyFont="1" applyBorder="1"/>
    <xf numFmtId="0" fontId="4" fillId="0" borderId="0" xfId="0" applyFont="1" applyBorder="1"/>
    <xf numFmtId="37" fontId="4" fillId="0" borderId="0" xfId="0" applyNumberFormat="1" applyFont="1" applyBorder="1"/>
    <xf numFmtId="0" fontId="3" fillId="0" borderId="0" xfId="0" applyFont="1" applyFill="1" applyBorder="1" applyAlignment="1">
      <alignment horizontal="center"/>
    </xf>
    <xf numFmtId="164" fontId="4" fillId="0" borderId="0" xfId="0" applyNumberFormat="1" applyFont="1" applyFill="1" applyBorder="1"/>
    <xf numFmtId="0" fontId="3" fillId="0" borderId="0" xfId="0" applyFont="1" applyFill="1" applyAlignment="1">
      <alignment horizontal="center"/>
    </xf>
    <xf numFmtId="0" fontId="8" fillId="0" borderId="0" xfId="0" applyFont="1" applyFill="1" applyAlignment="1">
      <alignment horizontal="center"/>
    </xf>
    <xf numFmtId="0" fontId="1" fillId="0" borderId="0" xfId="7"/>
    <xf numFmtId="0" fontId="1" fillId="0" borderId="0" xfId="7" applyFill="1"/>
    <xf numFmtId="164" fontId="1" fillId="0" borderId="0" xfId="7" applyNumberFormat="1" applyFill="1"/>
    <xf numFmtId="42" fontId="1" fillId="0" borderId="5" xfId="7" applyNumberFormat="1" applyFill="1" applyBorder="1"/>
    <xf numFmtId="0" fontId="1" fillId="0" borderId="0" xfId="7" applyFill="1" applyAlignment="1">
      <alignment horizontal="left"/>
    </xf>
    <xf numFmtId="0" fontId="1" fillId="0" borderId="0" xfId="7" applyFill="1" applyAlignment="1">
      <alignment horizontal="left" indent="1"/>
    </xf>
    <xf numFmtId="164" fontId="25" fillId="0" borderId="0" xfId="7" applyNumberFormat="1" applyFont="1" applyFill="1" applyBorder="1"/>
    <xf numFmtId="42" fontId="1" fillId="0" borderId="0" xfId="7" applyNumberFormat="1" applyFill="1"/>
    <xf numFmtId="0" fontId="33" fillId="0" borderId="0" xfId="7" applyFont="1" applyFill="1"/>
    <xf numFmtId="41" fontId="1" fillId="0" borderId="0" xfId="7" applyNumberFormat="1" applyFill="1"/>
    <xf numFmtId="0" fontId="32" fillId="0" borderId="0" xfId="7" applyFont="1" applyFill="1"/>
    <xf numFmtId="0" fontId="1" fillId="0" borderId="0" xfId="7" applyFill="1" applyBorder="1"/>
    <xf numFmtId="0" fontId="33" fillId="0" borderId="0" xfId="7" applyFont="1" applyFill="1" applyBorder="1"/>
    <xf numFmtId="176" fontId="10" fillId="0" borderId="0" xfId="7" applyNumberFormat="1" applyFont="1" applyFill="1" applyBorder="1"/>
    <xf numFmtId="0" fontId="1" fillId="0" borderId="0" xfId="7" applyFill="1" applyBorder="1" applyAlignment="1">
      <alignment wrapText="1"/>
    </xf>
    <xf numFmtId="0" fontId="1" fillId="0" borderId="0" xfId="7" applyFill="1" applyBorder="1" applyAlignment="1">
      <alignment horizontal="left" vertical="top"/>
    </xf>
    <xf numFmtId="166" fontId="10" fillId="0" borderId="14" xfId="7" applyNumberFormat="1" applyFont="1" applyFill="1" applyBorder="1"/>
    <xf numFmtId="166" fontId="10" fillId="0" borderId="4" xfId="7" applyNumberFormat="1" applyFont="1" applyFill="1" applyBorder="1"/>
    <xf numFmtId="166" fontId="10" fillId="0" borderId="13" xfId="7" applyNumberFormat="1" applyFont="1" applyFill="1" applyBorder="1"/>
    <xf numFmtId="0" fontId="1" fillId="0" borderId="4" xfId="7" applyFill="1" applyBorder="1"/>
    <xf numFmtId="0" fontId="1" fillId="0" borderId="36" xfId="7" applyFill="1" applyBorder="1" applyAlignment="1">
      <alignment wrapText="1"/>
    </xf>
    <xf numFmtId="0" fontId="1" fillId="0" borderId="13" xfId="7" applyFill="1" applyBorder="1" applyAlignment="1">
      <alignment horizontal="left" vertical="top"/>
    </xf>
    <xf numFmtId="166" fontId="10" fillId="0" borderId="12" xfId="7" applyNumberFormat="1" applyFont="1" applyFill="1" applyBorder="1"/>
    <xf numFmtId="166" fontId="10" fillId="0" borderId="0" xfId="7" applyNumberFormat="1" applyFont="1" applyFill="1" applyBorder="1"/>
    <xf numFmtId="166" fontId="10" fillId="0" borderId="11" xfId="7" applyNumberFormat="1" applyFont="1" applyFill="1" applyBorder="1"/>
    <xf numFmtId="0" fontId="1" fillId="0" borderId="18" xfId="7" applyFill="1" applyBorder="1" applyAlignment="1">
      <alignment wrapText="1"/>
    </xf>
    <xf numFmtId="0" fontId="1" fillId="0" borderId="11" xfId="7" applyFill="1" applyBorder="1" applyAlignment="1">
      <alignment horizontal="left" vertical="top"/>
    </xf>
    <xf numFmtId="0" fontId="1" fillId="0" borderId="12" xfId="7" applyFill="1" applyBorder="1"/>
    <xf numFmtId="0" fontId="1" fillId="0" borderId="11" xfId="7" applyFill="1" applyBorder="1"/>
    <xf numFmtId="0" fontId="1" fillId="0" borderId="18" xfId="7" applyFill="1" applyBorder="1"/>
    <xf numFmtId="164" fontId="25" fillId="0" borderId="12" xfId="7" applyNumberFormat="1" applyFont="1" applyFill="1" applyBorder="1"/>
    <xf numFmtId="164" fontId="25" fillId="0" borderId="11" xfId="7" applyNumberFormat="1" applyFont="1" applyFill="1" applyBorder="1"/>
    <xf numFmtId="0" fontId="22" fillId="0" borderId="0" xfId="7" applyFont="1" applyFill="1" applyBorder="1"/>
    <xf numFmtId="165" fontId="25" fillId="0" borderId="12" xfId="7" applyNumberFormat="1" applyFont="1" applyFill="1" applyBorder="1"/>
    <xf numFmtId="165" fontId="25" fillId="0" borderId="0" xfId="7" applyNumberFormat="1" applyFont="1" applyFill="1" applyBorder="1"/>
    <xf numFmtId="165" fontId="25" fillId="0" borderId="11" xfId="7" applyNumberFormat="1" applyFont="1" applyFill="1" applyBorder="1"/>
    <xf numFmtId="164" fontId="1" fillId="0" borderId="12" xfId="7" applyNumberFormat="1" applyFill="1" applyBorder="1"/>
    <xf numFmtId="164" fontId="1" fillId="0" borderId="0" xfId="7" applyNumberFormat="1" applyFill="1" applyBorder="1"/>
    <xf numFmtId="164" fontId="1" fillId="0" borderId="11" xfId="7" applyNumberFormat="1" applyFill="1" applyBorder="1"/>
    <xf numFmtId="44" fontId="0" fillId="0" borderId="0" xfId="8" applyFont="1"/>
    <xf numFmtId="42" fontId="17" fillId="0" borderId="35" xfId="7" applyNumberFormat="1" applyFont="1" applyFill="1" applyBorder="1"/>
    <xf numFmtId="42" fontId="17" fillId="0" borderId="33" xfId="7" applyNumberFormat="1" applyFont="1" applyFill="1" applyBorder="1"/>
    <xf numFmtId="42" fontId="17" fillId="0" borderId="34" xfId="7" applyNumberFormat="1" applyFont="1" applyFill="1" applyBorder="1"/>
    <xf numFmtId="0" fontId="17" fillId="0" borderId="33" xfId="7" applyFont="1" applyFill="1" applyBorder="1"/>
    <xf numFmtId="0" fontId="17" fillId="0" borderId="32" xfId="7" applyFont="1" applyFill="1" applyBorder="1" applyAlignment="1"/>
    <xf numFmtId="0" fontId="1" fillId="0" borderId="31" xfId="7" applyFill="1" applyBorder="1"/>
    <xf numFmtId="0" fontId="1" fillId="0" borderId="7" xfId="7" applyFill="1" applyBorder="1"/>
    <xf numFmtId="0" fontId="1" fillId="0" borderId="30" xfId="7" applyFill="1" applyBorder="1"/>
    <xf numFmtId="164" fontId="1" fillId="0" borderId="12" xfId="7" applyNumberFormat="1" applyFill="1" applyBorder="1" applyAlignment="1">
      <alignment horizontal="center"/>
    </xf>
    <xf numFmtId="164" fontId="25" fillId="0" borderId="27" xfId="7" applyNumberFormat="1" applyFont="1" applyFill="1" applyBorder="1"/>
    <xf numFmtId="0" fontId="1" fillId="0" borderId="27" xfId="7" applyFill="1" applyBorder="1"/>
    <xf numFmtId="0" fontId="1" fillId="0" borderId="19" xfId="7" applyFill="1" applyBorder="1" applyAlignment="1">
      <alignment wrapText="1"/>
    </xf>
    <xf numFmtId="169" fontId="20" fillId="0" borderId="12" xfId="7" applyNumberFormat="1" applyFont="1" applyFill="1" applyBorder="1" applyAlignment="1">
      <alignment horizontal="center"/>
    </xf>
    <xf numFmtId="169" fontId="20" fillId="0" borderId="0" xfId="7" applyNumberFormat="1" applyFont="1" applyFill="1" applyBorder="1"/>
    <xf numFmtId="169" fontId="20" fillId="0" borderId="11" xfId="7" applyNumberFormat="1" applyFont="1" applyFill="1" applyBorder="1"/>
    <xf numFmtId="0" fontId="22" fillId="0" borderId="27" xfId="7" applyFont="1" applyFill="1" applyBorder="1"/>
    <xf numFmtId="0" fontId="1" fillId="0" borderId="19" xfId="7" applyFill="1" applyBorder="1"/>
    <xf numFmtId="9" fontId="25" fillId="0" borderId="12" xfId="7" applyNumberFormat="1" applyFont="1" applyFill="1" applyBorder="1"/>
    <xf numFmtId="9" fontId="20" fillId="0" borderId="29" xfId="7" applyNumberFormat="1" applyFont="1" applyFill="1" applyBorder="1" applyAlignment="1">
      <alignment horizontal="right"/>
    </xf>
    <xf numFmtId="9" fontId="20" fillId="0" borderId="27" xfId="7" applyNumberFormat="1" applyFont="1" applyFill="1" applyBorder="1"/>
    <xf numFmtId="9" fontId="20" fillId="0" borderId="28" xfId="7" applyNumberFormat="1" applyFont="1" applyFill="1" applyBorder="1"/>
    <xf numFmtId="165" fontId="0" fillId="0" borderId="0" xfId="8" applyNumberFormat="1" applyFont="1"/>
    <xf numFmtId="165" fontId="18" fillId="0" borderId="12" xfId="7" applyNumberFormat="1" applyFont="1" applyFill="1" applyBorder="1" applyAlignment="1">
      <alignment horizontal="center"/>
    </xf>
    <xf numFmtId="10" fontId="20" fillId="0" borderId="0" xfId="7" applyNumberFormat="1" applyFont="1" applyFill="1" applyBorder="1"/>
    <xf numFmtId="0" fontId="17" fillId="0" borderId="11" xfId="7" applyFont="1" applyFill="1" applyBorder="1"/>
    <xf numFmtId="165" fontId="25" fillId="0" borderId="12" xfId="7" applyNumberFormat="1" applyFont="1" applyFill="1" applyBorder="1" applyAlignment="1">
      <alignment horizontal="center"/>
    </xf>
    <xf numFmtId="0" fontId="24" fillId="0" borderId="12" xfId="7" applyFont="1" applyFill="1" applyBorder="1" applyAlignment="1">
      <alignment horizontal="center"/>
    </xf>
    <xf numFmtId="0" fontId="24" fillId="0" borderId="0" xfId="7" applyFont="1" applyFill="1" applyBorder="1" applyAlignment="1">
      <alignment horizontal="center"/>
    </xf>
    <xf numFmtId="0" fontId="24" fillId="0" borderId="11" xfId="7" applyFont="1" applyFill="1" applyBorder="1" applyAlignment="1">
      <alignment horizontal="center"/>
    </xf>
    <xf numFmtId="0" fontId="13" fillId="0" borderId="22" xfId="7" applyFont="1" applyFill="1" applyBorder="1" applyAlignment="1">
      <alignment horizontal="center"/>
    </xf>
    <xf numFmtId="0" fontId="13" fillId="0" borderId="21" xfId="7" applyFont="1" applyFill="1" applyBorder="1" applyAlignment="1">
      <alignment horizontal="center"/>
    </xf>
    <xf numFmtId="0" fontId="13" fillId="0" borderId="20" xfId="7" applyFont="1" applyFill="1" applyBorder="1" applyAlignment="1">
      <alignment horizontal="center"/>
    </xf>
    <xf numFmtId="0" fontId="17" fillId="0" borderId="19" xfId="7" applyFont="1" applyFill="1" applyBorder="1" applyAlignment="1">
      <alignment horizontal="center"/>
    </xf>
    <xf numFmtId="0" fontId="1" fillId="0" borderId="26" xfId="7" applyFill="1" applyBorder="1"/>
    <xf numFmtId="0" fontId="23" fillId="3" borderId="10" xfId="7" applyFont="1" applyFill="1" applyBorder="1" applyAlignment="1">
      <alignment horizontal="centerContinuous"/>
    </xf>
    <xf numFmtId="0" fontId="23" fillId="3" borderId="9" xfId="7" applyFont="1" applyFill="1" applyBorder="1" applyAlignment="1">
      <alignment horizontal="centerContinuous"/>
    </xf>
    <xf numFmtId="0" fontId="23" fillId="3" borderId="8" xfId="7" applyFont="1" applyFill="1" applyBorder="1" applyAlignment="1">
      <alignment horizontal="centerContinuous"/>
    </xf>
    <xf numFmtId="0" fontId="18" fillId="0" borderId="9" xfId="7" applyFont="1" applyFill="1" applyBorder="1"/>
    <xf numFmtId="0" fontId="18" fillId="0" borderId="25" xfId="7" applyFont="1" applyFill="1" applyBorder="1"/>
    <xf numFmtId="0" fontId="1" fillId="0" borderId="8" xfId="7" applyFill="1" applyBorder="1"/>
    <xf numFmtId="0" fontId="18" fillId="0" borderId="0" xfId="7" applyFont="1" applyFill="1"/>
    <xf numFmtId="0" fontId="21" fillId="0" borderId="0" xfId="7" applyFont="1" applyFill="1" applyAlignment="1"/>
    <xf numFmtId="44" fontId="8" fillId="0" borderId="0" xfId="0" applyNumberFormat="1" applyFont="1" applyFill="1" applyBorder="1"/>
    <xf numFmtId="0" fontId="3" fillId="0" borderId="23" xfId="0" applyFont="1" applyFill="1" applyBorder="1" applyAlignment="1">
      <alignment horizontal="center" wrapText="1"/>
    </xf>
    <xf numFmtId="0" fontId="3" fillId="0" borderId="44" xfId="0" applyFont="1" applyFill="1" applyBorder="1" applyAlignment="1">
      <alignment horizontal="center" vertical="top" wrapText="1"/>
    </xf>
    <xf numFmtId="0" fontId="3" fillId="0" borderId="44" xfId="0" applyFont="1" applyFill="1" applyBorder="1" applyAlignment="1">
      <alignment horizontal="center" wrapText="1"/>
    </xf>
    <xf numFmtId="165" fontId="3" fillId="0" borderId="44" xfId="0" applyNumberFormat="1" applyFont="1" applyFill="1" applyBorder="1" applyAlignment="1">
      <alignment horizontal="center" wrapText="1"/>
    </xf>
    <xf numFmtId="0" fontId="3" fillId="0" borderId="39" xfId="0" applyFont="1" applyFill="1" applyBorder="1" applyAlignment="1">
      <alignment horizontal="center" wrapText="1"/>
    </xf>
    <xf numFmtId="0" fontId="10" fillId="0" borderId="44" xfId="0" applyFont="1" applyFill="1" applyBorder="1" applyAlignment="1">
      <alignment horizontal="center"/>
    </xf>
    <xf numFmtId="164" fontId="10" fillId="0" borderId="44" xfId="0" applyNumberFormat="1" applyFont="1" applyFill="1" applyBorder="1" applyAlignment="1">
      <alignment horizontal="center"/>
    </xf>
    <xf numFmtId="164" fontId="10" fillId="0" borderId="39" xfId="0" applyNumberFormat="1" applyFont="1" applyFill="1" applyBorder="1" applyAlignment="1">
      <alignment horizontal="center"/>
    </xf>
    <xf numFmtId="164" fontId="10" fillId="0" borderId="0" xfId="0" applyNumberFormat="1" applyFont="1" applyFill="1" applyAlignment="1">
      <alignment horizontal="center"/>
    </xf>
    <xf numFmtId="0" fontId="8" fillId="0" borderId="0" xfId="0" applyFont="1" applyFill="1" applyAlignment="1">
      <alignment horizontal="center"/>
    </xf>
    <xf numFmtId="0" fontId="3" fillId="0" borderId="37" xfId="0" quotePrefix="1"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3" fillId="0" borderId="38" xfId="0" quotePrefix="1" applyFont="1" applyFill="1" applyBorder="1" applyAlignment="1">
      <alignment horizontal="left" vertical="center" wrapText="1"/>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1" xfId="0" quotePrefix="1" applyFont="1" applyFill="1" applyBorder="1" applyAlignment="1">
      <alignment horizontal="center"/>
    </xf>
    <xf numFmtId="0" fontId="3" fillId="0" borderId="0" xfId="0" applyFont="1" applyFill="1" applyBorder="1" applyAlignment="1">
      <alignment horizontal="center"/>
    </xf>
    <xf numFmtId="0" fontId="3" fillId="0" borderId="12" xfId="0" applyFont="1" applyFill="1" applyBorder="1" applyAlignment="1">
      <alignment horizontal="center"/>
    </xf>
    <xf numFmtId="0" fontId="3" fillId="0" borderId="0" xfId="0" applyFont="1" applyFill="1" applyAlignment="1">
      <alignment horizontal="center"/>
    </xf>
    <xf numFmtId="0" fontId="3" fillId="0" borderId="0" xfId="0" quotePrefix="1" applyFont="1" applyFill="1" applyAlignment="1">
      <alignment horizontal="center"/>
    </xf>
    <xf numFmtId="0" fontId="8" fillId="0" borderId="0" xfId="0" applyFont="1" applyFill="1" applyAlignment="1">
      <alignment horizontal="center"/>
    </xf>
    <xf numFmtId="0" fontId="8" fillId="0" borderId="0" xfId="0" quotePrefix="1" applyFont="1" applyFill="1" applyAlignment="1">
      <alignment horizontal="center"/>
    </xf>
    <xf numFmtId="0" fontId="4" fillId="0" borderId="0" xfId="0" quotePrefix="1" applyFont="1" applyFill="1" applyAlignment="1">
      <alignment horizontal="left" indent="3"/>
    </xf>
    <xf numFmtId="0" fontId="4" fillId="0" borderId="0" xfId="0" quotePrefix="1" applyFont="1" applyAlignment="1">
      <alignment horizontal="left" indent="1"/>
    </xf>
    <xf numFmtId="0" fontId="4" fillId="0" borderId="0" xfId="0" quotePrefix="1" applyFont="1" applyFill="1" applyAlignment="1">
      <alignment horizontal="left" indent="2"/>
    </xf>
    <xf numFmtId="0" fontId="4" fillId="0" borderId="0" xfId="0" quotePrefix="1" applyFont="1" applyAlignment="1">
      <alignment horizontal="left" indent="3"/>
    </xf>
    <xf numFmtId="0" fontId="4" fillId="10" borderId="0" xfId="0" quotePrefix="1" applyFont="1" applyFill="1" applyAlignment="1">
      <alignment horizontal="left" indent="2"/>
    </xf>
    <xf numFmtId="0" fontId="4" fillId="0" borderId="0" xfId="0" quotePrefix="1" applyFont="1" applyAlignment="1">
      <alignment horizontal="left" indent="2"/>
    </xf>
    <xf numFmtId="0" fontId="4" fillId="0" borderId="27" xfId="0" quotePrefix="1" applyFont="1" applyBorder="1" applyAlignment="1">
      <alignment horizontal="center"/>
    </xf>
    <xf numFmtId="0" fontId="18" fillId="0" borderId="0" xfId="7" applyFont="1" applyFill="1" applyAlignment="1">
      <alignment horizontal="center"/>
    </xf>
    <xf numFmtId="0" fontId="19" fillId="0" borderId="0" xfId="7" applyFont="1" applyFill="1" applyAlignment="1">
      <alignment horizontal="center"/>
    </xf>
    <xf numFmtId="0" fontId="20" fillId="0" borderId="0" xfId="7" applyFont="1" applyFill="1" applyAlignment="1">
      <alignment horizontal="center"/>
    </xf>
    <xf numFmtId="0" fontId="12" fillId="0" borderId="0" xfId="7" applyFont="1" applyFill="1" applyAlignment="1">
      <alignment horizontal="center"/>
    </xf>
    <xf numFmtId="0" fontId="3" fillId="0" borderId="37" xfId="3" applyFont="1" applyFill="1" applyBorder="1" applyAlignment="1">
      <alignment horizontal="center"/>
    </xf>
    <xf numFmtId="0" fontId="3" fillId="0" borderId="38" xfId="3" applyFont="1" applyFill="1" applyBorder="1" applyAlignment="1">
      <alignment horizontal="center"/>
    </xf>
    <xf numFmtId="0" fontId="3" fillId="0" borderId="0" xfId="3" applyFont="1" applyAlignment="1">
      <alignment horizontal="center"/>
    </xf>
    <xf numFmtId="0" fontId="3" fillId="0" borderId="0" xfId="3" quotePrefix="1" applyFont="1" applyAlignment="1">
      <alignment horizontal="center"/>
    </xf>
    <xf numFmtId="0" fontId="3" fillId="0" borderId="37" xfId="3" applyFont="1" applyBorder="1" applyAlignment="1">
      <alignment horizontal="center"/>
    </xf>
    <xf numFmtId="0" fontId="3" fillId="0" borderId="1" xfId="3" applyFont="1" applyBorder="1" applyAlignment="1">
      <alignment horizontal="center"/>
    </xf>
    <xf numFmtId="0" fontId="3" fillId="0" borderId="38" xfId="3" applyFont="1" applyBorder="1" applyAlignment="1">
      <alignment horizontal="center"/>
    </xf>
    <xf numFmtId="0" fontId="3" fillId="0" borderId="0" xfId="2" applyFont="1" applyAlignment="1">
      <alignment horizontal="left" wrapText="1"/>
    </xf>
  </cellXfs>
  <cellStyles count="9">
    <cellStyle name="Comma 2" xfId="4"/>
    <cellStyle name="Currency" xfId="1" builtinId="4"/>
    <cellStyle name="Currency 2" xfId="8"/>
    <cellStyle name="Currency 2 12" xfId="6"/>
    <cellStyle name="Normal" xfId="0" builtinId="0"/>
    <cellStyle name="Normal 2" xfId="3"/>
    <cellStyle name="Normal 3" xfId="7"/>
    <cellStyle name="Normal_Energy and Demand Allocations_TYE 09-30-2003_WEATHER ADJUSTEDV5" xfId="2"/>
    <cellStyle name="Percent 2" xfId="5"/>
  </cellStyles>
  <dxfs count="1">
    <dxf>
      <font>
        <b/>
        <i val="0"/>
      </font>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38100</xdr:colOff>
      <xdr:row>25</xdr:row>
      <xdr:rowOff>106680</xdr:rowOff>
    </xdr:from>
    <xdr:to>
      <xdr:col>24</xdr:col>
      <xdr:colOff>206582</xdr:colOff>
      <xdr:row>66</xdr:row>
      <xdr:rowOff>130032</xdr:rowOff>
    </xdr:to>
    <xdr:pic>
      <xdr:nvPicPr>
        <xdr:cNvPr id="2" name="Picture 1"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4240" y="3779520"/>
          <a:ext cx="8512382" cy="5509752"/>
        </a:xfrm>
        <a:prstGeom prst="rect">
          <a:avLst/>
        </a:prstGeom>
      </xdr:spPr>
    </xdr:pic>
    <xdr:clientData/>
  </xdr:twoCellAnchor>
  <xdr:twoCellAnchor editAs="oneCell">
    <xdr:from>
      <xdr:col>10</xdr:col>
      <xdr:colOff>0</xdr:colOff>
      <xdr:row>69</xdr:row>
      <xdr:rowOff>0</xdr:rowOff>
    </xdr:from>
    <xdr:to>
      <xdr:col>24</xdr:col>
      <xdr:colOff>122654</xdr:colOff>
      <xdr:row>93</xdr:row>
      <xdr:rowOff>7926</xdr:rowOff>
    </xdr:to>
    <xdr:pic>
      <xdr:nvPicPr>
        <xdr:cNvPr id="3" name="Picture 2" descr="Screen Clippi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16140" y="9715500"/>
          <a:ext cx="8466554" cy="3535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516300</xdr:colOff>
      <xdr:row>17</xdr:row>
      <xdr:rowOff>44534</xdr:rowOff>
    </xdr:from>
    <xdr:ext cx="4690371" cy="1595245"/>
    <xdr:sp macro="" textlink="">
      <xdr:nvSpPr>
        <xdr:cNvPr id="2" name="Rectangle 1"/>
        <xdr:cNvSpPr/>
      </xdr:nvSpPr>
      <xdr:spPr>
        <a:xfrm rot="21148150">
          <a:off x="11572920" y="3740234"/>
          <a:ext cx="4690371" cy="1595245"/>
        </a:xfrm>
        <a:prstGeom prst="rect">
          <a:avLst/>
        </a:prstGeom>
        <a:noFill/>
      </xdr:spPr>
      <xdr:txBody>
        <a:bodyPr wrap="square" lIns="91440" tIns="45720" rIns="91440" bIns="45720">
          <a:spAutoFit/>
        </a:bodyPr>
        <a:lstStyle/>
        <a:p>
          <a:pPr algn="ctr"/>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Schedule 95a Rates </a:t>
          </a:r>
        </a:p>
        <a:p>
          <a:pPr algn="ctr"/>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effective</a:t>
          </a:r>
          <a:r>
            <a:rPr lang="en-US" sz="32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1-1-21</a:t>
          </a:r>
        </a:p>
        <a:p>
          <a:pPr algn="ctr"/>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UE-200897</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533400</xdr:colOff>
      <xdr:row>7</xdr:row>
      <xdr:rowOff>777240</xdr:rowOff>
    </xdr:from>
    <xdr:to>
      <xdr:col>26</xdr:col>
      <xdr:colOff>528335</xdr:colOff>
      <xdr:row>24</xdr:row>
      <xdr:rowOff>47625</xdr:rowOff>
    </xdr:to>
    <xdr:pic>
      <xdr:nvPicPr>
        <xdr:cNvPr id="2"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993880" y="2080260"/>
          <a:ext cx="9748535" cy="3049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pbwprd.puget.com:50100/irj/go/km/docs/documents/Public%20Documents/Sales%20and%20Margin%20Reports%20(Final)/Sales%20of%20Electricity/2011/Sales_of_Electricity_2011_01_final_20110209_1101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onthly"/>
      <sheetName val="QTD"/>
      <sheetName val="YTD"/>
      <sheetName val="12ME"/>
      <sheetName val="Footnotes"/>
      <sheetName val="Strings"/>
      <sheetName val="ZZCOOM_M03_Q004"/>
      <sheetName val="ZZCOOM_M03_Q004SKF"/>
      <sheetName val="ZZCOOM_M03_Q004ORDERS"/>
      <sheetName val="Revision History"/>
      <sheetName val="Graph"/>
    </sheetNames>
    <sheetDataSet>
      <sheetData sheetId="0" refreshError="1"/>
      <sheetData sheetId="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15"/>
  <sheetViews>
    <sheetView zoomScaleNormal="100" workbookViewId="0">
      <selection activeCell="B1" sqref="B1"/>
    </sheetView>
  </sheetViews>
  <sheetFormatPr defaultColWidth="9.109375" defaultRowHeight="28.2" x14ac:dyDescent="0.5"/>
  <cols>
    <col min="1" max="1" width="97.33203125" style="2" bestFit="1" customWidth="1"/>
    <col min="2" max="16384" width="9.109375" style="69"/>
  </cols>
  <sheetData>
    <row r="1" spans="1:1" x14ac:dyDescent="0.5">
      <c r="A1" s="2" t="s">
        <v>13</v>
      </c>
    </row>
    <row r="2" spans="1:1" x14ac:dyDescent="0.5">
      <c r="A2" s="3"/>
    </row>
    <row r="3" spans="1:1" x14ac:dyDescent="0.5">
      <c r="A3" s="3"/>
    </row>
    <row r="4" spans="1:1" x14ac:dyDescent="0.5">
      <c r="A4" s="3" t="s">
        <v>439</v>
      </c>
    </row>
    <row r="5" spans="1:1" x14ac:dyDescent="0.5">
      <c r="A5" s="2" t="s">
        <v>73</v>
      </c>
    </row>
    <row r="6" spans="1:1" x14ac:dyDescent="0.5">
      <c r="A6" s="6" t="s">
        <v>401</v>
      </c>
    </row>
    <row r="8" spans="1:1" x14ac:dyDescent="0.5">
      <c r="A8" s="3" t="s">
        <v>62</v>
      </c>
    </row>
    <row r="9" spans="1:1" x14ac:dyDescent="0.5">
      <c r="A9" s="2" t="s">
        <v>61</v>
      </c>
    </row>
    <row r="11" spans="1:1" x14ac:dyDescent="0.5">
      <c r="A11" s="3" t="s">
        <v>72</v>
      </c>
    </row>
    <row r="12" spans="1:1" x14ac:dyDescent="0.5">
      <c r="A12" s="3"/>
    </row>
    <row r="13" spans="1:1" x14ac:dyDescent="0.5">
      <c r="A13" s="3"/>
    </row>
    <row r="14" spans="1:1" x14ac:dyDescent="0.5">
      <c r="A14" s="3"/>
    </row>
    <row r="15" spans="1:1" x14ac:dyDescent="0.5">
      <c r="A15" s="3"/>
    </row>
  </sheetData>
  <phoneticPr fontId="4" type="noConversion"/>
  <printOptions horizontalCentered="1"/>
  <pageMargins left="0.7" right="0.7" top="0.75" bottom="0.75" header="0.3" footer="0.3"/>
  <pageSetup fitToHeight="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workbookViewId="0">
      <selection activeCell="N18" sqref="N18"/>
    </sheetView>
  </sheetViews>
  <sheetFormatPr defaultColWidth="8.88671875" defaultRowHeight="14.4" x14ac:dyDescent="0.3"/>
  <cols>
    <col min="1" max="1" width="18.88671875" style="196" bestFit="1" customWidth="1"/>
    <col min="2" max="2" width="10.6640625" style="196" bestFit="1" customWidth="1"/>
    <col min="3" max="3" width="5.5546875" style="196" bestFit="1" customWidth="1"/>
    <col min="4" max="4" width="10.5546875" style="196" bestFit="1" customWidth="1"/>
    <col min="5" max="7" width="9" style="196" bestFit="1" customWidth="1"/>
    <col min="8" max="8" width="7" style="196" bestFit="1" customWidth="1"/>
    <col min="9" max="9" width="9" style="196" bestFit="1" customWidth="1"/>
    <col min="10" max="10" width="7" style="196" bestFit="1" customWidth="1"/>
    <col min="11" max="15" width="8" style="196" bestFit="1" customWidth="1"/>
    <col min="16" max="16" width="7" style="196" bestFit="1" customWidth="1"/>
    <col min="17" max="17" width="10.5546875" style="196" bestFit="1" customWidth="1"/>
    <col min="18" max="18" width="9" style="196" bestFit="1" customWidth="1"/>
    <col min="19" max="19" width="10" style="196" bestFit="1" customWidth="1"/>
    <col min="20" max="16384" width="8.88671875" style="196"/>
  </cols>
  <sheetData>
    <row r="1" spans="1:18" x14ac:dyDescent="0.3">
      <c r="A1" s="196" t="s">
        <v>224</v>
      </c>
    </row>
    <row r="2" spans="1:18" x14ac:dyDescent="0.3">
      <c r="A2" s="196" t="s">
        <v>225</v>
      </c>
    </row>
    <row r="4" spans="1:18" x14ac:dyDescent="0.3">
      <c r="A4" s="196" t="s">
        <v>226</v>
      </c>
      <c r="B4" s="196" t="s">
        <v>118</v>
      </c>
      <c r="C4" s="196" t="s">
        <v>227</v>
      </c>
      <c r="D4" s="196" t="s">
        <v>238</v>
      </c>
      <c r="E4" s="196" t="s">
        <v>228</v>
      </c>
      <c r="F4" s="196" t="s">
        <v>229</v>
      </c>
      <c r="G4" s="196" t="s">
        <v>230</v>
      </c>
      <c r="H4" s="196" t="s">
        <v>231</v>
      </c>
      <c r="I4" s="196" t="s">
        <v>232</v>
      </c>
      <c r="J4" s="196" t="s">
        <v>233</v>
      </c>
      <c r="K4" s="196" t="s">
        <v>234</v>
      </c>
      <c r="L4" s="196" t="s">
        <v>348</v>
      </c>
      <c r="M4" s="196" t="s">
        <v>235</v>
      </c>
      <c r="N4" s="196" t="s">
        <v>236</v>
      </c>
      <c r="O4" s="196" t="s">
        <v>9</v>
      </c>
      <c r="P4" s="196" t="s">
        <v>237</v>
      </c>
      <c r="Q4" s="196" t="s">
        <v>239</v>
      </c>
      <c r="R4" s="196" t="s">
        <v>365</v>
      </c>
    </row>
    <row r="5" spans="1:18" x14ac:dyDescent="0.3">
      <c r="A5" s="260">
        <v>43101</v>
      </c>
      <c r="B5" s="261">
        <v>43102</v>
      </c>
      <c r="C5" s="196" t="s">
        <v>366</v>
      </c>
      <c r="D5" s="262">
        <v>2451658.627491157</v>
      </c>
      <c r="E5" s="262">
        <v>471173.08485940099</v>
      </c>
      <c r="F5" s="262">
        <v>438464.57535427733</v>
      </c>
      <c r="G5" s="262">
        <v>238160.17031604124</v>
      </c>
      <c r="H5" s="262">
        <v>456.83185222461861</v>
      </c>
      <c r="I5" s="262">
        <v>193014.15414325823</v>
      </c>
      <c r="J5" s="262">
        <v>8.0893858558904288</v>
      </c>
      <c r="K5" s="262">
        <v>19555.05291473525</v>
      </c>
      <c r="L5" s="262">
        <v>52055.058981791277</v>
      </c>
      <c r="M5" s="262">
        <v>6439.8343590015247</v>
      </c>
      <c r="N5" s="262">
        <v>64000.526689762642</v>
      </c>
      <c r="O5" s="262">
        <v>17544.428690664128</v>
      </c>
      <c r="P5" s="262">
        <v>1469.5649618292723</v>
      </c>
      <c r="Q5" s="262">
        <f>SUM(D5:P5)</f>
        <v>3953999.9999999995</v>
      </c>
      <c r="R5" s="262">
        <v>246981.3839242247</v>
      </c>
    </row>
    <row r="6" spans="1:18" x14ac:dyDescent="0.3">
      <c r="A6" s="260">
        <v>43132</v>
      </c>
      <c r="B6" s="261">
        <v>43154</v>
      </c>
      <c r="C6" s="196" t="s">
        <v>367</v>
      </c>
      <c r="D6" s="262">
        <v>2343427.6222602087</v>
      </c>
      <c r="E6" s="262">
        <v>532239.13259806007</v>
      </c>
      <c r="F6" s="262">
        <v>577208.51150491962</v>
      </c>
      <c r="G6" s="262">
        <v>337597.36057761702</v>
      </c>
      <c r="H6" s="262">
        <v>382.37580548877025</v>
      </c>
      <c r="I6" s="262">
        <v>214695.13704874928</v>
      </c>
      <c r="J6" s="262">
        <v>6.2226045045310983</v>
      </c>
      <c r="K6" s="262">
        <v>52645.553975916373</v>
      </c>
      <c r="L6" s="262">
        <v>61961.575252897703</v>
      </c>
      <c r="M6" s="262">
        <v>14276.874772038684</v>
      </c>
      <c r="N6" s="262">
        <v>69414.016391389465</v>
      </c>
      <c r="O6" s="262">
        <v>556.08839544154216</v>
      </c>
      <c r="P6" s="262">
        <v>1589.5288127673646</v>
      </c>
      <c r="Q6" s="262">
        <f t="shared" ref="Q6:Q16" si="0">SUM(D6:P6)</f>
        <v>4205999.9999999991</v>
      </c>
      <c r="R6" s="262">
        <v>251302.72100123111</v>
      </c>
    </row>
    <row r="7" spans="1:18" x14ac:dyDescent="0.3">
      <c r="A7" s="260">
        <v>43160</v>
      </c>
      <c r="B7" s="261">
        <v>43166</v>
      </c>
      <c r="C7" s="196" t="s">
        <v>367</v>
      </c>
      <c r="D7" s="262">
        <v>2008111.3276105835</v>
      </c>
      <c r="E7" s="262">
        <v>492291.24856311874</v>
      </c>
      <c r="F7" s="262">
        <v>526061.12433508027</v>
      </c>
      <c r="G7" s="262">
        <v>266037.83728892903</v>
      </c>
      <c r="H7" s="262">
        <v>462.95685566451311</v>
      </c>
      <c r="I7" s="262">
        <v>202111.59800062128</v>
      </c>
      <c r="J7" s="262">
        <v>6.8448649549842084</v>
      </c>
      <c r="K7" s="262">
        <v>42139.97802975103</v>
      </c>
      <c r="L7" s="262">
        <v>57604.221243931002</v>
      </c>
      <c r="M7" s="262">
        <v>9619.0970854188818</v>
      </c>
      <c r="N7" s="262">
        <v>68598.047546642905</v>
      </c>
      <c r="O7" s="262">
        <v>556.08839544154216</v>
      </c>
      <c r="P7" s="262">
        <v>1399.6301798619861</v>
      </c>
      <c r="Q7" s="262">
        <f t="shared" si="0"/>
        <v>3675000.0000000005</v>
      </c>
      <c r="R7" s="262">
        <v>246381.07596868131</v>
      </c>
    </row>
    <row r="8" spans="1:18" x14ac:dyDescent="0.3">
      <c r="A8" s="260">
        <v>43191</v>
      </c>
      <c r="B8" s="261">
        <v>43192</v>
      </c>
      <c r="C8" s="196" t="s">
        <v>367</v>
      </c>
      <c r="D8" s="262">
        <v>1752781.0204252896</v>
      </c>
      <c r="E8" s="262">
        <v>465136.24136914639</v>
      </c>
      <c r="F8" s="262">
        <v>528042.23916680645</v>
      </c>
      <c r="G8" s="262">
        <v>280934.64731822733</v>
      </c>
      <c r="H8" s="262">
        <v>464.74255771112968</v>
      </c>
      <c r="I8" s="262">
        <v>207665.99904258319</v>
      </c>
      <c r="J8" s="262">
        <v>7.4671254054373186</v>
      </c>
      <c r="K8" s="262">
        <v>41018.785779592225</v>
      </c>
      <c r="L8" s="262">
        <v>54789.720135451149</v>
      </c>
      <c r="M8" s="262">
        <v>8922.1941444571348</v>
      </c>
      <c r="N8" s="262">
        <v>71484.943808789132</v>
      </c>
      <c r="O8" s="262">
        <v>556.08839544154216</v>
      </c>
      <c r="P8" s="262">
        <v>1195.9107310993754</v>
      </c>
      <c r="Q8" s="262">
        <f t="shared" si="0"/>
        <v>3412999.9999999995</v>
      </c>
      <c r="R8" s="262">
        <v>248363.95589107269</v>
      </c>
    </row>
    <row r="9" spans="1:18" x14ac:dyDescent="0.3">
      <c r="A9" s="260">
        <v>43221</v>
      </c>
      <c r="B9" s="261">
        <v>43234</v>
      </c>
      <c r="C9" s="196" t="s">
        <v>366</v>
      </c>
      <c r="D9" s="262">
        <v>1378717.395216984</v>
      </c>
      <c r="E9" s="262">
        <v>395968.69264537859</v>
      </c>
      <c r="F9" s="262">
        <v>481009.72731474403</v>
      </c>
      <c r="G9" s="262">
        <v>318699.87351684464</v>
      </c>
      <c r="H9" s="262">
        <v>3122.0778422315298</v>
      </c>
      <c r="I9" s="262">
        <v>196914.03478317583</v>
      </c>
      <c r="J9" s="262">
        <v>1006.1951483826786</v>
      </c>
      <c r="K9" s="262">
        <v>11913.885300986569</v>
      </c>
      <c r="L9" s="262">
        <v>52739.806203819906</v>
      </c>
      <c r="M9" s="262">
        <v>5103.8721236086249</v>
      </c>
      <c r="N9" s="262">
        <v>71799.657838975429</v>
      </c>
      <c r="O9" s="262">
        <v>556.08839544154216</v>
      </c>
      <c r="P9" s="262">
        <v>448.69366942663618</v>
      </c>
      <c r="Q9" s="262">
        <f t="shared" si="0"/>
        <v>2918000</v>
      </c>
      <c r="R9" s="262">
        <v>183833.6142165793</v>
      </c>
    </row>
    <row r="10" spans="1:18" x14ac:dyDescent="0.3">
      <c r="A10" s="260">
        <v>43252</v>
      </c>
      <c r="B10" s="261">
        <v>43271</v>
      </c>
      <c r="C10" s="196" t="s">
        <v>366</v>
      </c>
      <c r="D10" s="262">
        <v>1692502.8158108443</v>
      </c>
      <c r="E10" s="262">
        <v>366929.83622786414</v>
      </c>
      <c r="F10" s="262">
        <v>428936.81992204918</v>
      </c>
      <c r="G10" s="262">
        <v>311833.03431395942</v>
      </c>
      <c r="H10" s="262">
        <v>4239.9594160984116</v>
      </c>
      <c r="I10" s="262">
        <v>200794.8737103228</v>
      </c>
      <c r="J10" s="262">
        <v>1001.217064779054</v>
      </c>
      <c r="K10" s="262">
        <v>9340.5828198340023</v>
      </c>
      <c r="L10" s="262">
        <v>55378.810934293055</v>
      </c>
      <c r="M10" s="262">
        <v>15966.281844442419</v>
      </c>
      <c r="N10" s="262">
        <v>73143.018176882964</v>
      </c>
      <c r="O10" s="262">
        <v>556.08839544154216</v>
      </c>
      <c r="P10" s="262">
        <v>376.66136318950726</v>
      </c>
      <c r="Q10" s="262">
        <f t="shared" si="0"/>
        <v>3161000.0000000005</v>
      </c>
      <c r="R10" s="262">
        <v>259632.62403940671</v>
      </c>
    </row>
    <row r="11" spans="1:18" x14ac:dyDescent="0.3">
      <c r="A11" s="260">
        <v>43282</v>
      </c>
      <c r="B11" s="261">
        <v>43311</v>
      </c>
      <c r="C11" s="196" t="s">
        <v>366</v>
      </c>
      <c r="D11" s="262">
        <v>1818838.1549716657</v>
      </c>
      <c r="E11" s="262">
        <v>397272.08625105734</v>
      </c>
      <c r="F11" s="262">
        <v>494405.52119706746</v>
      </c>
      <c r="G11" s="262">
        <v>346920.79413661058</v>
      </c>
      <c r="H11" s="262">
        <v>6257.2842516803221</v>
      </c>
      <c r="I11" s="262">
        <v>195859.14025093245</v>
      </c>
      <c r="J11" s="262">
        <v>1031.0855664008031</v>
      </c>
      <c r="K11" s="262">
        <v>8033.2059016026396</v>
      </c>
      <c r="L11" s="262">
        <v>54611.515031562725</v>
      </c>
      <c r="M11" s="262">
        <v>11043.046409330593</v>
      </c>
      <c r="N11" s="262">
        <v>71784.367927799613</v>
      </c>
      <c r="O11" s="262">
        <v>556.08839544154216</v>
      </c>
      <c r="P11" s="262">
        <v>387.70970884848151</v>
      </c>
      <c r="Q11" s="262">
        <f t="shared" si="0"/>
        <v>3407000</v>
      </c>
      <c r="R11" s="262">
        <v>257680.47075978349</v>
      </c>
    </row>
    <row r="12" spans="1:18" x14ac:dyDescent="0.3">
      <c r="A12" s="260">
        <v>43313</v>
      </c>
      <c r="B12" s="261">
        <v>43320</v>
      </c>
      <c r="C12" s="196" t="s">
        <v>366</v>
      </c>
      <c r="D12" s="262">
        <v>1828728.2047145315</v>
      </c>
      <c r="E12" s="262">
        <v>420739.90609414969</v>
      </c>
      <c r="F12" s="262">
        <v>484734.95603208034</v>
      </c>
      <c r="G12" s="262">
        <v>341196.00308751146</v>
      </c>
      <c r="H12" s="262">
        <v>5821.9154766956208</v>
      </c>
      <c r="I12" s="262">
        <v>195865.66514143188</v>
      </c>
      <c r="J12" s="262">
        <v>993.12767892316333</v>
      </c>
      <c r="K12" s="262">
        <v>8345.6760093930188</v>
      </c>
      <c r="L12" s="262">
        <v>52821.078358531355</v>
      </c>
      <c r="M12" s="262">
        <v>9217.4186691644773</v>
      </c>
      <c r="N12" s="262">
        <v>73606.725627516527</v>
      </c>
      <c r="O12" s="262">
        <v>556.08839544154216</v>
      </c>
      <c r="P12" s="262">
        <v>373.23471462986294</v>
      </c>
      <c r="Q12" s="262">
        <f t="shared" si="0"/>
        <v>3423000.0000000005</v>
      </c>
      <c r="R12" s="262">
        <v>260392.15406710896</v>
      </c>
    </row>
    <row r="13" spans="1:18" x14ac:dyDescent="0.3">
      <c r="A13" s="260">
        <v>43344</v>
      </c>
      <c r="B13" s="261">
        <v>43349</v>
      </c>
      <c r="C13" s="196" t="s">
        <v>366</v>
      </c>
      <c r="D13" s="262">
        <v>1364998.1957095929</v>
      </c>
      <c r="E13" s="262">
        <v>373206.04483403865</v>
      </c>
      <c r="F13" s="262">
        <v>433343.58555821673</v>
      </c>
      <c r="G13" s="262">
        <v>305221.57078587112</v>
      </c>
      <c r="H13" s="262">
        <v>3722.0862203853967</v>
      </c>
      <c r="I13" s="262">
        <v>203805.62614141303</v>
      </c>
      <c r="J13" s="262">
        <v>1279.3674861315938</v>
      </c>
      <c r="K13" s="262">
        <v>9626.8960996480964</v>
      </c>
      <c r="L13" s="262">
        <v>47766.035437212267</v>
      </c>
      <c r="M13" s="262">
        <v>13746.702426444421</v>
      </c>
      <c r="N13" s="262">
        <v>70300.009792391793</v>
      </c>
      <c r="O13" s="262">
        <v>556.08839544154216</v>
      </c>
      <c r="P13" s="262">
        <v>427.7911132128059</v>
      </c>
      <c r="Q13" s="262">
        <f t="shared" si="0"/>
        <v>2828000</v>
      </c>
      <c r="R13" s="262">
        <v>249755.20128844332</v>
      </c>
    </row>
    <row r="14" spans="1:18" x14ac:dyDescent="0.3">
      <c r="A14" s="260">
        <v>43374</v>
      </c>
      <c r="B14" s="261">
        <v>43395</v>
      </c>
      <c r="C14" s="196" t="s">
        <v>367</v>
      </c>
      <c r="D14" s="262">
        <v>1496843.050387464</v>
      </c>
      <c r="E14" s="262">
        <v>433591.00624138175</v>
      </c>
      <c r="F14" s="262">
        <v>475343.30139727745</v>
      </c>
      <c r="G14" s="262">
        <v>275861.27861203719</v>
      </c>
      <c r="H14" s="262">
        <v>256.26275914950008</v>
      </c>
      <c r="I14" s="262">
        <v>193220.86924616757</v>
      </c>
      <c r="J14" s="262">
        <v>3.7335627027186593</v>
      </c>
      <c r="K14" s="262">
        <v>36987.071644323245</v>
      </c>
      <c r="L14" s="262">
        <v>44680.007910175977</v>
      </c>
      <c r="M14" s="262">
        <v>5062.2963664050121</v>
      </c>
      <c r="N14" s="262">
        <v>68232.436363230212</v>
      </c>
      <c r="O14" s="262">
        <v>9050.2585430528325</v>
      </c>
      <c r="P14" s="262">
        <v>868.42696663252082</v>
      </c>
      <c r="Q14" s="262">
        <f t="shared" si="0"/>
        <v>3040000.0000000005</v>
      </c>
      <c r="R14" s="262">
        <v>251758.17259761583</v>
      </c>
    </row>
    <row r="15" spans="1:18" x14ac:dyDescent="0.3">
      <c r="A15" s="260">
        <v>43405</v>
      </c>
      <c r="B15" s="261">
        <v>43423</v>
      </c>
      <c r="C15" s="196" t="s">
        <v>367</v>
      </c>
      <c r="D15" s="262">
        <v>1933373.3384301127</v>
      </c>
      <c r="E15" s="262">
        <v>514088.62283850287</v>
      </c>
      <c r="F15" s="262">
        <v>544794.37035335705</v>
      </c>
      <c r="G15" s="262">
        <v>277229.6342685406</v>
      </c>
      <c r="H15" s="262">
        <v>660.31719537533365</v>
      </c>
      <c r="I15" s="262">
        <v>193183.44278496929</v>
      </c>
      <c r="J15" s="262">
        <v>6.8448649549842084</v>
      </c>
      <c r="K15" s="262">
        <v>48160.552265055245</v>
      </c>
      <c r="L15" s="262">
        <v>47468.220885865114</v>
      </c>
      <c r="M15" s="262">
        <v>7442.1725211630765</v>
      </c>
      <c r="N15" s="262">
        <v>72482.046340634697</v>
      </c>
      <c r="O15" s="262">
        <v>3953.7564544860588</v>
      </c>
      <c r="P15" s="262">
        <v>1156.6807969832053</v>
      </c>
      <c r="Q15" s="262">
        <f t="shared" si="0"/>
        <v>3643999.9999999995</v>
      </c>
      <c r="R15" s="262">
        <v>253325.03854828654</v>
      </c>
    </row>
    <row r="16" spans="1:18" x14ac:dyDescent="0.3">
      <c r="A16" s="260">
        <v>43435</v>
      </c>
      <c r="B16" s="261">
        <v>43440</v>
      </c>
      <c r="C16" s="196" t="s">
        <v>367</v>
      </c>
      <c r="D16" s="262">
        <v>2217437.3132827613</v>
      </c>
      <c r="E16" s="262">
        <v>545002.46069820691</v>
      </c>
      <c r="F16" s="262">
        <v>645263.90588749177</v>
      </c>
      <c r="G16" s="262">
        <v>306912.50545756845</v>
      </c>
      <c r="H16" s="262">
        <v>344.78716851985956</v>
      </c>
      <c r="I16" s="262">
        <v>218486.63686010128</v>
      </c>
      <c r="J16" s="262">
        <v>6.8448649549842084</v>
      </c>
      <c r="K16" s="262">
        <v>53322.772324906691</v>
      </c>
      <c r="L16" s="262">
        <v>49699.733612431985</v>
      </c>
      <c r="M16" s="262">
        <v>11430.411526214701</v>
      </c>
      <c r="N16" s="262">
        <v>72411.932208972255</v>
      </c>
      <c r="O16" s="262">
        <v>10182.81456839712</v>
      </c>
      <c r="P16" s="262">
        <v>1497.8815394721507</v>
      </c>
      <c r="Q16" s="262">
        <f t="shared" si="0"/>
        <v>4132000</v>
      </c>
      <c r="R16" s="262">
        <v>255750.24483616717</v>
      </c>
    </row>
    <row r="18" spans="1:18" x14ac:dyDescent="0.3">
      <c r="A18" s="260" t="s">
        <v>368</v>
      </c>
      <c r="D18" s="263">
        <f>AVERAGE(D5:D6,D15:D16)</f>
        <v>2236474.2253660602</v>
      </c>
      <c r="E18" s="263">
        <f t="shared" ref="E18:O18" si="1">AVERAGE(E5:E6,E15:E16)</f>
        <v>515625.82524854271</v>
      </c>
      <c r="F18" s="263">
        <f>AVERAGE(F5:F6,F15:F16)</f>
        <v>551432.84077501134</v>
      </c>
      <c r="G18" s="263">
        <f t="shared" si="1"/>
        <v>289974.91765494185</v>
      </c>
      <c r="H18" s="263">
        <f t="shared" si="1"/>
        <v>461.07800540214549</v>
      </c>
      <c r="I18" s="263">
        <f t="shared" si="1"/>
        <v>204844.84270926949</v>
      </c>
      <c r="J18" s="263">
        <f t="shared" si="1"/>
        <v>7.0004300675974864</v>
      </c>
      <c r="K18" s="263">
        <f t="shared" si="1"/>
        <v>43420.982870153392</v>
      </c>
      <c r="L18" s="263">
        <f t="shared" si="1"/>
        <v>52796.147183246518</v>
      </c>
      <c r="M18" s="263">
        <f t="shared" si="1"/>
        <v>9897.3232946044973</v>
      </c>
      <c r="N18" s="263">
        <f t="shared" si="1"/>
        <v>69577.130407689765</v>
      </c>
      <c r="O18" s="263">
        <f t="shared" si="1"/>
        <v>8059.2720272472116</v>
      </c>
      <c r="P18" s="263">
        <f>AVERAGE(P5:P6,P15:P16)</f>
        <v>1428.4140277629981</v>
      </c>
      <c r="Q18" s="263">
        <f>AVERAGE(Q5:Q6,Q15:Q16)</f>
        <v>3983999.9999999995</v>
      </c>
      <c r="R18" s="263">
        <f>AVERAGE(R5:R6,R15:R16)</f>
        <v>251839.84707747737</v>
      </c>
    </row>
    <row r="20" spans="1:18" x14ac:dyDescent="0.3">
      <c r="A20" s="260" t="s">
        <v>369</v>
      </c>
      <c r="D20" s="263"/>
      <c r="E20" s="263"/>
      <c r="F20" s="263"/>
      <c r="G20" s="263"/>
      <c r="H20" s="263"/>
      <c r="I20" s="263"/>
      <c r="J20" s="263"/>
      <c r="K20" s="263"/>
      <c r="L20" s="263"/>
      <c r="M20" s="263"/>
      <c r="N20" s="263"/>
      <c r="O20" s="263"/>
      <c r="P20" s="263"/>
      <c r="Q20" s="262"/>
      <c r="R20" s="263"/>
    </row>
  </sheetData>
  <printOptions horizontalCentered="1"/>
  <pageMargins left="0.25" right="0.25" top="0.75" bottom="0.75" header="0.3" footer="0.3"/>
  <pageSetup scale="86" orientation="landscape" r:id="rId1"/>
  <headerFooter>
    <oddFooter>&amp;L&amp;"Times New Roman,Regular"&amp;F
&amp;A&amp;R&amp;"Times New Roman,Regular"Page &amp;P of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0"/>
  <sheetViews>
    <sheetView zoomScale="80" zoomScaleNormal="80" workbookViewId="0"/>
  </sheetViews>
  <sheetFormatPr defaultColWidth="8.88671875" defaultRowHeight="14.4" x14ac:dyDescent="0.3"/>
  <cols>
    <col min="1" max="1" width="20.6640625" style="196" customWidth="1"/>
    <col min="2" max="2" width="13.6640625" style="196" bestFit="1" customWidth="1"/>
    <col min="3" max="3" width="13" style="196" bestFit="1" customWidth="1"/>
    <col min="4" max="4" width="18.6640625" style="196" bestFit="1" customWidth="1"/>
    <col min="5" max="6" width="13.5546875" style="196" bestFit="1" customWidth="1"/>
    <col min="7" max="7" width="13" style="196" bestFit="1" customWidth="1"/>
    <col min="8" max="8" width="22.6640625" style="196" bestFit="1" customWidth="1"/>
    <col min="9" max="9" width="16.109375" style="196" bestFit="1" customWidth="1"/>
    <col min="10" max="10" width="26.6640625" style="196" bestFit="1" customWidth="1"/>
    <col min="11" max="11" width="14.6640625" style="196" bestFit="1" customWidth="1"/>
    <col min="12" max="12" width="22.6640625" style="196" bestFit="1" customWidth="1"/>
    <col min="13" max="13" width="8.88671875" style="196"/>
    <col min="14" max="15" width="11.33203125" style="196" bestFit="1" customWidth="1"/>
    <col min="16" max="16" width="10.33203125" style="196" bestFit="1" customWidth="1"/>
    <col min="17" max="16384" width="8.88671875" style="196"/>
  </cols>
  <sheetData>
    <row r="1" spans="1:10" x14ac:dyDescent="0.3">
      <c r="A1" s="195"/>
      <c r="B1" s="135"/>
      <c r="C1" s="135"/>
      <c r="D1" s="135"/>
      <c r="E1" s="135"/>
      <c r="F1" s="135"/>
      <c r="G1" s="135"/>
      <c r="H1" s="135"/>
      <c r="I1" s="135"/>
      <c r="J1" s="135"/>
    </row>
    <row r="2" spans="1:10" x14ac:dyDescent="0.3">
      <c r="A2" s="195"/>
      <c r="B2" s="135"/>
      <c r="C2" s="135"/>
      <c r="D2" s="135"/>
      <c r="E2" s="135"/>
      <c r="F2" s="135"/>
      <c r="G2" s="135"/>
      <c r="H2" s="135"/>
      <c r="I2" s="135"/>
      <c r="J2" s="135"/>
    </row>
    <row r="3" spans="1:10" ht="15.6" x14ac:dyDescent="0.3">
      <c r="A3" s="117" t="s">
        <v>354</v>
      </c>
      <c r="B3" s="117"/>
      <c r="C3" s="117"/>
      <c r="D3" s="117"/>
      <c r="E3" s="117"/>
      <c r="F3" s="117"/>
      <c r="G3" s="117"/>
      <c r="H3" s="117"/>
      <c r="I3" s="117"/>
      <c r="J3" s="117"/>
    </row>
    <row r="4" spans="1:10" ht="15.6" x14ac:dyDescent="0.3">
      <c r="A4" s="117" t="s">
        <v>355</v>
      </c>
      <c r="B4" s="117"/>
      <c r="C4" s="117"/>
      <c r="D4" s="117"/>
      <c r="E4" s="117"/>
      <c r="F4" s="117"/>
      <c r="G4" s="117"/>
      <c r="H4" s="117"/>
      <c r="I4" s="117"/>
      <c r="J4" s="117"/>
    </row>
    <row r="5" spans="1:10" ht="15.6" x14ac:dyDescent="0.3">
      <c r="A5" s="118"/>
      <c r="B5" s="118"/>
      <c r="C5" s="118"/>
      <c r="D5" s="118"/>
      <c r="E5" s="118"/>
      <c r="F5" s="118"/>
      <c r="G5" s="118"/>
      <c r="H5" s="118"/>
      <c r="I5" s="117"/>
      <c r="J5" s="117"/>
    </row>
    <row r="6" spans="1:10" ht="15.6" x14ac:dyDescent="0.3">
      <c r="A6" s="118"/>
      <c r="B6" s="118"/>
      <c r="C6" s="118"/>
      <c r="D6" s="118"/>
      <c r="E6" s="118"/>
      <c r="F6" s="118"/>
      <c r="G6" s="118"/>
      <c r="H6" s="118"/>
      <c r="I6" s="117"/>
      <c r="J6" s="117"/>
    </row>
    <row r="7" spans="1:10" ht="16.2" thickBot="1" x14ac:dyDescent="0.35">
      <c r="A7" s="118"/>
      <c r="B7" s="118"/>
      <c r="C7" s="118"/>
      <c r="D7" s="118"/>
      <c r="E7" s="118"/>
      <c r="F7" s="118"/>
      <c r="G7" s="118"/>
      <c r="H7" s="118"/>
      <c r="I7" s="117"/>
      <c r="J7" s="117"/>
    </row>
    <row r="8" spans="1:10" ht="15.6" x14ac:dyDescent="0.3">
      <c r="A8" s="119" t="s">
        <v>240</v>
      </c>
      <c r="B8" s="120">
        <v>22233671792</v>
      </c>
      <c r="C8" s="118"/>
      <c r="D8" s="118"/>
      <c r="E8" s="118"/>
      <c r="F8" s="118"/>
      <c r="G8" s="118"/>
      <c r="H8" s="121" t="s">
        <v>356</v>
      </c>
      <c r="I8" s="122"/>
      <c r="J8" s="123">
        <v>20367606876.28373</v>
      </c>
    </row>
    <row r="9" spans="1:10" ht="15.6" x14ac:dyDescent="0.3">
      <c r="A9" s="124" t="s">
        <v>241</v>
      </c>
      <c r="B9" s="125">
        <v>145584174.35660648</v>
      </c>
      <c r="C9" s="118"/>
      <c r="D9" s="118"/>
      <c r="E9" s="118"/>
      <c r="F9" s="118"/>
      <c r="G9" s="118"/>
      <c r="H9" s="126" t="s">
        <v>242</v>
      </c>
      <c r="I9" s="127"/>
      <c r="J9" s="128">
        <v>135700317.96310043</v>
      </c>
    </row>
    <row r="10" spans="1:10" ht="16.2" thickBot="1" x14ac:dyDescent="0.35">
      <c r="A10" s="129" t="s">
        <v>243</v>
      </c>
      <c r="B10" s="130">
        <v>22379255966.356606</v>
      </c>
      <c r="C10" s="118"/>
      <c r="D10" s="118"/>
      <c r="E10" s="118"/>
      <c r="F10" s="118"/>
      <c r="G10" s="118"/>
      <c r="H10" s="131" t="s">
        <v>357</v>
      </c>
      <c r="I10" s="132"/>
      <c r="J10" s="133">
        <v>20503307194.24683</v>
      </c>
    </row>
    <row r="11" spans="1:10" ht="15.6" x14ac:dyDescent="0.3">
      <c r="A11" s="117"/>
      <c r="B11" s="117"/>
      <c r="C11" s="117"/>
      <c r="D11" s="117"/>
      <c r="E11" s="117"/>
      <c r="F11" s="117"/>
      <c r="G11" s="117"/>
      <c r="H11" s="134"/>
      <c r="I11" s="134"/>
      <c r="J11" s="117"/>
    </row>
    <row r="12" spans="1:10" ht="15.6" x14ac:dyDescent="0.3">
      <c r="A12" s="117"/>
      <c r="B12" s="117"/>
      <c r="C12" s="117"/>
      <c r="D12" s="117"/>
      <c r="E12" s="117"/>
      <c r="F12" s="117"/>
      <c r="G12" s="117"/>
      <c r="H12" s="117"/>
      <c r="I12" s="117"/>
      <c r="J12" s="117"/>
    </row>
    <row r="13" spans="1:10" ht="15" thickBot="1" x14ac:dyDescent="0.35">
      <c r="A13" s="135"/>
      <c r="B13" s="136"/>
      <c r="C13" s="135"/>
      <c r="D13" s="136"/>
      <c r="E13" s="135"/>
      <c r="F13" s="135"/>
      <c r="G13" s="135"/>
      <c r="H13" s="135"/>
      <c r="I13" s="135"/>
      <c r="J13" s="137"/>
    </row>
    <row r="14" spans="1:10" x14ac:dyDescent="0.3">
      <c r="A14" s="138" t="s">
        <v>244</v>
      </c>
      <c r="B14" s="139" t="s">
        <v>245</v>
      </c>
      <c r="C14" s="139" t="s">
        <v>246</v>
      </c>
      <c r="D14" s="139" t="s">
        <v>247</v>
      </c>
      <c r="E14" s="139" t="s">
        <v>248</v>
      </c>
      <c r="F14" s="139" t="s">
        <v>249</v>
      </c>
      <c r="G14" s="139" t="s">
        <v>250</v>
      </c>
      <c r="H14" s="139" t="s">
        <v>251</v>
      </c>
      <c r="I14" s="139" t="s">
        <v>252</v>
      </c>
      <c r="J14" s="140" t="s">
        <v>253</v>
      </c>
    </row>
    <row r="15" spans="1:10" x14ac:dyDescent="0.3">
      <c r="A15" s="141"/>
      <c r="B15" s="142"/>
      <c r="C15" s="142"/>
      <c r="D15" s="142"/>
      <c r="E15" s="142"/>
      <c r="F15" s="142" t="s">
        <v>254</v>
      </c>
      <c r="G15" s="142" t="s">
        <v>254</v>
      </c>
      <c r="H15" s="142" t="s">
        <v>254</v>
      </c>
      <c r="I15" s="142" t="s">
        <v>255</v>
      </c>
      <c r="J15" s="143" t="s">
        <v>256</v>
      </c>
    </row>
    <row r="16" spans="1:10" x14ac:dyDescent="0.3">
      <c r="A16" s="141"/>
      <c r="B16" s="142" t="s">
        <v>257</v>
      </c>
      <c r="C16" s="142" t="s">
        <v>258</v>
      </c>
      <c r="D16" s="142" t="s">
        <v>258</v>
      </c>
      <c r="E16" s="142" t="s">
        <v>259</v>
      </c>
      <c r="F16" s="142" t="s">
        <v>255</v>
      </c>
      <c r="G16" s="142" t="s">
        <v>260</v>
      </c>
      <c r="H16" s="142" t="s">
        <v>258</v>
      </c>
      <c r="I16" s="142" t="s">
        <v>261</v>
      </c>
      <c r="J16" s="143" t="s">
        <v>262</v>
      </c>
    </row>
    <row r="17" spans="1:10" x14ac:dyDescent="0.3">
      <c r="A17" s="141" t="s">
        <v>263</v>
      </c>
      <c r="B17" s="142" t="s">
        <v>264</v>
      </c>
      <c r="C17" s="142" t="s">
        <v>257</v>
      </c>
      <c r="D17" s="142" t="s">
        <v>34</v>
      </c>
      <c r="E17" s="142" t="s">
        <v>255</v>
      </c>
      <c r="F17" s="142" t="s">
        <v>119</v>
      </c>
      <c r="G17" s="142" t="s">
        <v>265</v>
      </c>
      <c r="H17" s="142" t="s">
        <v>266</v>
      </c>
      <c r="I17" s="142" t="s">
        <v>267</v>
      </c>
      <c r="J17" s="143" t="s">
        <v>255</v>
      </c>
    </row>
    <row r="18" spans="1:10" x14ac:dyDescent="0.3">
      <c r="A18" s="144"/>
      <c r="B18" s="145"/>
      <c r="C18" s="142" t="s">
        <v>34</v>
      </c>
      <c r="D18" s="142" t="s">
        <v>265</v>
      </c>
      <c r="E18" s="142" t="s">
        <v>119</v>
      </c>
      <c r="F18" s="142" t="s">
        <v>268</v>
      </c>
      <c r="G18" s="142" t="s">
        <v>269</v>
      </c>
      <c r="H18" s="142" t="s">
        <v>265</v>
      </c>
      <c r="I18" s="142" t="s">
        <v>270</v>
      </c>
      <c r="J18" s="143" t="s">
        <v>270</v>
      </c>
    </row>
    <row r="19" spans="1:10" x14ac:dyDescent="0.3">
      <c r="A19" s="144"/>
      <c r="B19" s="145"/>
      <c r="C19" s="146"/>
      <c r="D19" s="142" t="s">
        <v>271</v>
      </c>
      <c r="E19" s="142"/>
      <c r="F19" s="145"/>
      <c r="G19" s="142"/>
      <c r="H19" s="142"/>
      <c r="I19" s="142"/>
      <c r="J19" s="143"/>
    </row>
    <row r="20" spans="1:10" x14ac:dyDescent="0.3">
      <c r="A20" s="147"/>
      <c r="B20" s="148" t="s">
        <v>272</v>
      </c>
      <c r="C20" s="149"/>
      <c r="D20" s="149"/>
      <c r="E20" s="149" t="s">
        <v>273</v>
      </c>
      <c r="F20" s="150" t="s">
        <v>274</v>
      </c>
      <c r="G20" s="150" t="s">
        <v>275</v>
      </c>
      <c r="H20" s="150" t="s">
        <v>276</v>
      </c>
      <c r="I20" s="149" t="s">
        <v>277</v>
      </c>
      <c r="J20" s="151" t="s">
        <v>278</v>
      </c>
    </row>
    <row r="21" spans="1:10" x14ac:dyDescent="0.3">
      <c r="A21" s="152" t="s">
        <v>279</v>
      </c>
      <c r="B21" s="153" t="s">
        <v>279</v>
      </c>
      <c r="C21" s="153" t="s">
        <v>279</v>
      </c>
      <c r="D21" s="153" t="s">
        <v>279</v>
      </c>
      <c r="E21" s="153" t="s">
        <v>279</v>
      </c>
      <c r="F21" s="153" t="s">
        <v>279</v>
      </c>
      <c r="G21" s="153" t="s">
        <v>279</v>
      </c>
      <c r="H21" s="153" t="s">
        <v>279</v>
      </c>
      <c r="I21" s="153" t="s">
        <v>280</v>
      </c>
      <c r="J21" s="154" t="s">
        <v>281</v>
      </c>
    </row>
    <row r="22" spans="1:10" x14ac:dyDescent="0.3">
      <c r="A22" s="155" t="s">
        <v>282</v>
      </c>
      <c r="B22" s="156">
        <v>10497389420.552736</v>
      </c>
      <c r="C22" s="156">
        <v>10625472918.689331</v>
      </c>
      <c r="D22" s="157">
        <v>128083498.13659537</v>
      </c>
      <c r="E22" s="158">
        <v>7.6394329101422034E-2</v>
      </c>
      <c r="F22" s="159">
        <v>10594188.859395742</v>
      </c>
      <c r="G22" s="159">
        <v>138677686.99599111</v>
      </c>
      <c r="H22" s="159">
        <v>137498609.64961803</v>
      </c>
      <c r="I22" s="159">
        <v>11338653637.512157</v>
      </c>
      <c r="J22" s="160">
        <v>11476152247.161776</v>
      </c>
    </row>
    <row r="23" spans="1:10" x14ac:dyDescent="0.3">
      <c r="A23" s="161">
        <v>24</v>
      </c>
      <c r="B23" s="156">
        <v>2690721829.5087838</v>
      </c>
      <c r="C23" s="156">
        <v>2700129196.7702866</v>
      </c>
      <c r="D23" s="157">
        <v>9407367.2615028732</v>
      </c>
      <c r="E23" s="158">
        <v>7.6248550578070895E-2</v>
      </c>
      <c r="F23" s="159">
        <v>776505.54041789658</v>
      </c>
      <c r="G23" s="159">
        <v>10183872.80192077</v>
      </c>
      <c r="H23" s="159">
        <v>10097286.603526527</v>
      </c>
      <c r="I23" s="159">
        <v>2905858339.8067904</v>
      </c>
      <c r="J23" s="160">
        <v>2915955626.4103169</v>
      </c>
    </row>
    <row r="24" spans="1:10" x14ac:dyDescent="0.3">
      <c r="A24" s="161">
        <v>25</v>
      </c>
      <c r="B24" s="156">
        <v>2986356397.9411645</v>
      </c>
      <c r="C24" s="156">
        <v>2987721690.5601029</v>
      </c>
      <c r="D24" s="157">
        <v>1365292.6189382095</v>
      </c>
      <c r="E24" s="158">
        <v>7.6027086368391728E-2</v>
      </c>
      <c r="F24" s="159">
        <v>112340.11119456706</v>
      </c>
      <c r="G24" s="159">
        <v>1477632.7301327765</v>
      </c>
      <c r="H24" s="159">
        <v>1465069.4741678184</v>
      </c>
      <c r="I24" s="159">
        <v>3224057072.0137458</v>
      </c>
      <c r="J24" s="160">
        <v>3225522141.4879136</v>
      </c>
    </row>
    <row r="25" spans="1:10" x14ac:dyDescent="0.3">
      <c r="A25" s="161">
        <v>26</v>
      </c>
      <c r="B25" s="156">
        <v>1946174476.2870584</v>
      </c>
      <c r="C25" s="156">
        <v>1941301363.9308119</v>
      </c>
      <c r="D25" s="157">
        <v>-4873112.3562464509</v>
      </c>
      <c r="E25" s="158">
        <v>7.552808828744316E-2</v>
      </c>
      <c r="F25" s="159">
        <v>-398126.60137547925</v>
      </c>
      <c r="G25" s="159">
        <v>-5271238.9576219302</v>
      </c>
      <c r="H25" s="159">
        <v>-5226421.376820839</v>
      </c>
      <c r="I25" s="159">
        <v>2097996727.9043887</v>
      </c>
      <c r="J25" s="160">
        <v>2092770306.5275679</v>
      </c>
    </row>
    <row r="26" spans="1:10" x14ac:dyDescent="0.3">
      <c r="A26" s="161">
        <v>29</v>
      </c>
      <c r="B26" s="156">
        <v>16475530.158172358</v>
      </c>
      <c r="C26" s="156">
        <v>16009313.796828577</v>
      </c>
      <c r="D26" s="157">
        <v>-466216.36134378111</v>
      </c>
      <c r="E26" s="158">
        <v>7.3631662253881694E-2</v>
      </c>
      <c r="F26" s="159">
        <v>-37056.842572168098</v>
      </c>
      <c r="G26" s="159">
        <v>-503273.20391594921</v>
      </c>
      <c r="H26" s="159">
        <v>-498994.23123744584</v>
      </c>
      <c r="I26" s="159">
        <v>17742812.703756321</v>
      </c>
      <c r="J26" s="160">
        <v>17243818.472518876</v>
      </c>
    </row>
    <row r="27" spans="1:10" x14ac:dyDescent="0.3">
      <c r="A27" s="155">
        <v>31</v>
      </c>
      <c r="B27" s="156">
        <v>1408684085.0035303</v>
      </c>
      <c r="C27" s="156">
        <v>1407978352.242965</v>
      </c>
      <c r="D27" s="157">
        <v>-705732.76056518452</v>
      </c>
      <c r="E27" s="158">
        <v>3.6410112930760248E-2</v>
      </c>
      <c r="F27" s="159">
        <v>-26666.748848173767</v>
      </c>
      <c r="G27" s="159">
        <v>-732399.50941335829</v>
      </c>
      <c r="H27" s="159">
        <v>-726172.4393723862</v>
      </c>
      <c r="I27" s="159">
        <v>1456756022.4940898</v>
      </c>
      <c r="J27" s="160">
        <v>1456029850.0547175</v>
      </c>
    </row>
    <row r="28" spans="1:10" x14ac:dyDescent="0.3">
      <c r="A28" s="155">
        <v>35</v>
      </c>
      <c r="B28" s="156">
        <v>4443660</v>
      </c>
      <c r="C28" s="156">
        <v>4443660</v>
      </c>
      <c r="D28" s="157">
        <v>0</v>
      </c>
      <c r="E28" s="158">
        <v>3.577352608043876E-2</v>
      </c>
      <c r="F28" s="159">
        <v>0</v>
      </c>
      <c r="G28" s="159">
        <v>0</v>
      </c>
      <c r="H28" s="159">
        <v>0</v>
      </c>
      <c r="I28" s="159">
        <v>4597572.0317007378</v>
      </c>
      <c r="J28" s="160">
        <v>4597572.0317007378</v>
      </c>
    </row>
    <row r="29" spans="1:10" x14ac:dyDescent="0.3">
      <c r="A29" s="155">
        <v>40</v>
      </c>
      <c r="B29" s="156">
        <v>0</v>
      </c>
      <c r="C29" s="156">
        <v>0</v>
      </c>
      <c r="D29" s="157">
        <v>0</v>
      </c>
      <c r="E29" s="158">
        <v>3.6447350534266516E-2</v>
      </c>
      <c r="F29" s="159">
        <v>0</v>
      </c>
      <c r="G29" s="159">
        <v>0</v>
      </c>
      <c r="H29" s="159">
        <v>0</v>
      </c>
      <c r="I29" s="159">
        <v>0</v>
      </c>
      <c r="J29" s="160">
        <v>0</v>
      </c>
    </row>
    <row r="30" spans="1:10" x14ac:dyDescent="0.3">
      <c r="A30" s="161">
        <v>43</v>
      </c>
      <c r="B30" s="156">
        <v>119697408.13428572</v>
      </c>
      <c r="C30" s="156">
        <v>122500713.32397975</v>
      </c>
      <c r="D30" s="157">
        <v>2803305.1896940321</v>
      </c>
      <c r="E30" s="158">
        <v>3.7026438277086147E-2</v>
      </c>
      <c r="F30" s="159">
        <v>107787.38971019397</v>
      </c>
      <c r="G30" s="159">
        <v>2911092.579404226</v>
      </c>
      <c r="H30" s="159">
        <v>2886341.6379375607</v>
      </c>
      <c r="I30" s="159">
        <v>124004415.54399861</v>
      </c>
      <c r="J30" s="160">
        <v>126890757.18193617</v>
      </c>
    </row>
    <row r="31" spans="1:10" x14ac:dyDescent="0.3">
      <c r="A31" s="161">
        <v>46</v>
      </c>
      <c r="B31" s="156">
        <v>78351492</v>
      </c>
      <c r="C31" s="156">
        <v>78351492</v>
      </c>
      <c r="D31" s="157">
        <v>0</v>
      </c>
      <c r="E31" s="158">
        <v>1.7696784210330874E-2</v>
      </c>
      <c r="F31" s="159">
        <v>0</v>
      </c>
      <c r="G31" s="159">
        <v>0</v>
      </c>
      <c r="H31" s="159">
        <v>0</v>
      </c>
      <c r="I31" s="159">
        <v>79573505.048999339</v>
      </c>
      <c r="J31" s="160">
        <v>79573505.048999339</v>
      </c>
    </row>
    <row r="32" spans="1:10" x14ac:dyDescent="0.3">
      <c r="A32" s="161">
        <v>49</v>
      </c>
      <c r="B32" s="156">
        <v>542259321.40199995</v>
      </c>
      <c r="C32" s="156">
        <v>542259321.40199995</v>
      </c>
      <c r="D32" s="157">
        <v>0</v>
      </c>
      <c r="E32" s="158">
        <v>1.7587491040799316E-2</v>
      </c>
      <c r="F32" s="159">
        <v>0</v>
      </c>
      <c r="G32" s="159">
        <v>0</v>
      </c>
      <c r="H32" s="159">
        <v>0</v>
      </c>
      <c r="I32" s="159">
        <v>550655414.21762562</v>
      </c>
      <c r="J32" s="160">
        <v>550655414.21762562</v>
      </c>
    </row>
    <row r="33" spans="1:10" x14ac:dyDescent="0.3">
      <c r="A33" s="161" t="s">
        <v>283</v>
      </c>
      <c r="B33" s="156">
        <v>7084150</v>
      </c>
      <c r="C33" s="156">
        <v>7170066.2345252717</v>
      </c>
      <c r="D33" s="157">
        <v>85916.234525271488</v>
      </c>
      <c r="E33" s="158">
        <v>3.6959891695881389E-2</v>
      </c>
      <c r="F33" s="159">
        <v>3297.3234402083763</v>
      </c>
      <c r="G33" s="159">
        <v>89213.557965479864</v>
      </c>
      <c r="H33" s="159">
        <v>88455.038787196492</v>
      </c>
      <c r="I33" s="159">
        <v>7338548.0971957911</v>
      </c>
      <c r="J33" s="160">
        <v>7427003.1359829875</v>
      </c>
    </row>
    <row r="34" spans="1:10" x14ac:dyDescent="0.3">
      <c r="A34" s="155" t="s">
        <v>284</v>
      </c>
      <c r="B34" s="156">
        <v>69969105.295999989</v>
      </c>
      <c r="C34" s="156">
        <v>69969105.295999989</v>
      </c>
      <c r="D34" s="157">
        <v>0</v>
      </c>
      <c r="E34" s="158">
        <v>8.0178490041609624E-2</v>
      </c>
      <c r="F34" s="159">
        <v>0</v>
      </c>
      <c r="G34" s="159">
        <v>0</v>
      </c>
      <c r="H34" s="159">
        <v>0</v>
      </c>
      <c r="I34" s="159">
        <v>75887375.026475519</v>
      </c>
      <c r="J34" s="160">
        <v>75887375.026475519</v>
      </c>
    </row>
    <row r="35" spans="1:10" x14ac:dyDescent="0.3">
      <c r="A35" s="152" t="s">
        <v>279</v>
      </c>
      <c r="B35" s="153" t="s">
        <v>279</v>
      </c>
      <c r="C35" s="162" t="s">
        <v>279</v>
      </c>
      <c r="D35" s="153" t="s">
        <v>279</v>
      </c>
      <c r="E35" s="153" t="s">
        <v>279</v>
      </c>
      <c r="F35" s="153" t="s">
        <v>279</v>
      </c>
      <c r="G35" s="153" t="s">
        <v>279</v>
      </c>
      <c r="H35" s="153" t="s">
        <v>279</v>
      </c>
      <c r="I35" s="153" t="s">
        <v>280</v>
      </c>
      <c r="J35" s="154" t="s">
        <v>281</v>
      </c>
    </row>
    <row r="36" spans="1:10" x14ac:dyDescent="0.3">
      <c r="A36" s="163" t="s">
        <v>12</v>
      </c>
      <c r="B36" s="164">
        <v>20367606876.28373</v>
      </c>
      <c r="C36" s="165">
        <v>20503307194.24683</v>
      </c>
      <c r="D36" s="164">
        <v>135700317.96310043</v>
      </c>
      <c r="E36" s="164">
        <v>0</v>
      </c>
      <c r="F36" s="164">
        <v>11132269.031362789</v>
      </c>
      <c r="G36" s="164">
        <v>146832586.99446315</v>
      </c>
      <c r="H36" s="164">
        <v>145584174.35660648</v>
      </c>
      <c r="I36" s="166">
        <v>21883121442.400917</v>
      </c>
      <c r="J36" s="167">
        <v>22028705616.757526</v>
      </c>
    </row>
    <row r="37" spans="1:10" ht="15" thickBot="1" x14ac:dyDescent="0.35">
      <c r="A37" s="168"/>
      <c r="B37" s="169"/>
      <c r="C37" s="170"/>
      <c r="D37" s="171"/>
      <c r="E37" s="169"/>
      <c r="F37" s="169"/>
      <c r="G37" s="169"/>
      <c r="H37" s="171"/>
      <c r="I37" s="169"/>
      <c r="J37" s="172"/>
    </row>
    <row r="38" spans="1:10" x14ac:dyDescent="0.3">
      <c r="A38" s="135"/>
      <c r="B38" s="135"/>
      <c r="C38" s="137"/>
      <c r="D38" s="135"/>
      <c r="E38" s="135"/>
      <c r="F38" s="135"/>
      <c r="G38" s="135"/>
      <c r="H38" s="135"/>
      <c r="I38" s="135"/>
      <c r="J38" s="137"/>
    </row>
    <row r="39" spans="1:10" x14ac:dyDescent="0.3">
      <c r="A39" s="135"/>
      <c r="B39" s="135"/>
      <c r="C39" s="137"/>
      <c r="D39" s="135"/>
      <c r="E39" s="135"/>
      <c r="F39" s="135"/>
      <c r="G39" s="135"/>
      <c r="H39" s="135"/>
      <c r="I39" s="135"/>
      <c r="J39" s="137"/>
    </row>
    <row r="40" spans="1:10" ht="15" thickBot="1" x14ac:dyDescent="0.35">
      <c r="A40" s="173" t="s">
        <v>285</v>
      </c>
      <c r="B40" s="135"/>
      <c r="C40" s="137"/>
      <c r="D40" s="135"/>
      <c r="E40" s="135"/>
      <c r="F40" s="135"/>
      <c r="G40" s="135"/>
      <c r="H40" s="135"/>
      <c r="I40" s="135"/>
      <c r="J40" s="137"/>
    </row>
    <row r="41" spans="1:10" x14ac:dyDescent="0.3">
      <c r="A41" s="174">
        <v>459</v>
      </c>
      <c r="B41" s="175">
        <v>293153938.24000144</v>
      </c>
      <c r="C41" s="175">
        <v>293153938.24000144</v>
      </c>
      <c r="D41" s="176">
        <v>0</v>
      </c>
      <c r="E41" s="177">
        <v>1.6945222666027646E-2</v>
      </c>
      <c r="F41" s="178">
        <v>0</v>
      </c>
      <c r="G41" s="178">
        <v>0</v>
      </c>
      <c r="H41" s="178">
        <v>0</v>
      </c>
      <c r="I41" s="178">
        <v>298207124.36292702</v>
      </c>
      <c r="J41" s="179">
        <v>298207124.36292702</v>
      </c>
    </row>
    <row r="42" spans="1:10" x14ac:dyDescent="0.3">
      <c r="A42" s="161" t="s">
        <v>286</v>
      </c>
      <c r="B42" s="156">
        <v>1661664054.6089966</v>
      </c>
      <c r="C42" s="156">
        <v>1661664054.6089966</v>
      </c>
      <c r="D42" s="180">
        <v>0</v>
      </c>
      <c r="E42" s="158">
        <v>1.6911502274592646E-2</v>
      </c>
      <c r="F42" s="159">
        <v>0</v>
      </c>
      <c r="G42" s="159">
        <v>0</v>
      </c>
      <c r="H42" s="181">
        <v>0</v>
      </c>
      <c r="I42" s="159">
        <v>1690248699.3323834</v>
      </c>
      <c r="J42" s="160">
        <v>1690248699.3323834</v>
      </c>
    </row>
    <row r="43" spans="1:10" x14ac:dyDescent="0.3">
      <c r="A43" s="161" t="s">
        <v>287</v>
      </c>
      <c r="B43" s="156">
        <v>74975062.919999987</v>
      </c>
      <c r="C43" s="156">
        <v>74975062.919999987</v>
      </c>
      <c r="D43" s="180">
        <v>0</v>
      </c>
      <c r="E43" s="158">
        <v>3.5004476029850982E-2</v>
      </c>
      <c r="F43" s="159">
        <v>0</v>
      </c>
      <c r="G43" s="159">
        <v>0</v>
      </c>
      <c r="H43" s="181">
        <v>0</v>
      </c>
      <c r="I43" s="159">
        <v>77694726.097319439</v>
      </c>
      <c r="J43" s="160">
        <v>77694726.097319439</v>
      </c>
    </row>
    <row r="44" spans="1:10" x14ac:dyDescent="0.3">
      <c r="A44" s="163" t="s">
        <v>347</v>
      </c>
      <c r="B44" s="182">
        <v>336220536</v>
      </c>
      <c r="C44" s="182">
        <v>335767916</v>
      </c>
      <c r="D44" s="156">
        <v>-452620</v>
      </c>
      <c r="E44" s="183">
        <v>3.6447350534266516E-2</v>
      </c>
      <c r="F44" s="159">
        <v>-16496.799798819709</v>
      </c>
      <c r="G44" s="159">
        <v>-469116.7997988197</v>
      </c>
      <c r="H44" s="181">
        <v>-469116.7997988197</v>
      </c>
      <c r="I44" s="159">
        <v>350550349.59907383</v>
      </c>
      <c r="J44" s="160">
        <v>350081232.79927498</v>
      </c>
    </row>
    <row r="45" spans="1:10" x14ac:dyDescent="0.3">
      <c r="A45" s="184" t="s">
        <v>279</v>
      </c>
      <c r="B45" s="185" t="s">
        <v>279</v>
      </c>
      <c r="C45" s="185" t="s">
        <v>279</v>
      </c>
      <c r="D45" s="185" t="s">
        <v>279</v>
      </c>
      <c r="E45" s="185" t="s">
        <v>279</v>
      </c>
      <c r="F45" s="185" t="s">
        <v>279</v>
      </c>
      <c r="G45" s="185" t="s">
        <v>279</v>
      </c>
      <c r="H45" s="185" t="s">
        <v>279</v>
      </c>
      <c r="I45" s="185" t="s">
        <v>279</v>
      </c>
      <c r="J45" s="186" t="s">
        <v>279</v>
      </c>
    </row>
    <row r="46" spans="1:10" x14ac:dyDescent="0.3">
      <c r="A46" s="163" t="s">
        <v>288</v>
      </c>
      <c r="B46" s="187">
        <v>2366013591.7689981</v>
      </c>
      <c r="C46" s="187">
        <v>2365560971.7689981</v>
      </c>
      <c r="D46" s="187">
        <v>-452620</v>
      </c>
      <c r="E46" s="187"/>
      <c r="F46" s="187">
        <v>-16496.799798819709</v>
      </c>
      <c r="G46" s="187">
        <v>-469116.7997988197</v>
      </c>
      <c r="H46" s="187">
        <v>-469116.7997988197</v>
      </c>
      <c r="I46" s="188">
        <v>2416700899.3917036</v>
      </c>
      <c r="J46" s="189">
        <v>2416231782.5919046</v>
      </c>
    </row>
    <row r="47" spans="1:10" ht="15" thickBot="1" x14ac:dyDescent="0.35">
      <c r="A47" s="168"/>
      <c r="B47" s="190"/>
      <c r="C47" s="190"/>
      <c r="D47" s="190"/>
      <c r="E47" s="190"/>
      <c r="F47" s="190"/>
      <c r="G47" s="190"/>
      <c r="H47" s="190"/>
      <c r="I47" s="191"/>
      <c r="J47" s="192"/>
    </row>
    <row r="48" spans="1:10" x14ac:dyDescent="0.3">
      <c r="A48" s="193"/>
      <c r="B48" s="164"/>
      <c r="C48" s="164"/>
      <c r="D48" s="164"/>
      <c r="E48" s="164"/>
      <c r="F48" s="164"/>
      <c r="G48" s="164"/>
      <c r="H48" s="164"/>
      <c r="I48" s="166"/>
      <c r="J48" s="164"/>
    </row>
    <row r="49" spans="1:11" x14ac:dyDescent="0.3">
      <c r="A49" s="194" t="s">
        <v>358</v>
      </c>
      <c r="B49" s="164"/>
      <c r="C49" s="164"/>
      <c r="D49" s="164"/>
      <c r="E49" s="164"/>
      <c r="F49" s="164"/>
      <c r="G49" s="164"/>
      <c r="H49" s="164"/>
      <c r="I49" s="166"/>
      <c r="J49" s="164"/>
    </row>
    <row r="50" spans="1:11" x14ac:dyDescent="0.3">
      <c r="A50" s="194"/>
      <c r="B50" s="164"/>
      <c r="C50" s="164"/>
      <c r="D50" s="164"/>
      <c r="E50" s="164"/>
      <c r="F50" s="164"/>
      <c r="G50" s="164"/>
      <c r="H50" s="164"/>
      <c r="I50" s="166"/>
      <c r="J50" s="164"/>
    </row>
    <row r="55" spans="1:11" ht="15.6" x14ac:dyDescent="0.3">
      <c r="A55" s="117" t="s">
        <v>359</v>
      </c>
      <c r="B55" s="197"/>
      <c r="C55" s="197"/>
      <c r="D55" s="197"/>
      <c r="E55" s="197"/>
      <c r="F55" s="197"/>
      <c r="G55" s="197"/>
      <c r="H55" s="197"/>
      <c r="I55" s="197"/>
      <c r="J55" s="197"/>
      <c r="K55" s="197"/>
    </row>
    <row r="56" spans="1:11" ht="15.6" x14ac:dyDescent="0.3">
      <c r="A56" s="117" t="s">
        <v>355</v>
      </c>
      <c r="B56" s="197"/>
      <c r="C56" s="197"/>
      <c r="D56" s="197"/>
      <c r="E56" s="197"/>
      <c r="F56" s="197"/>
      <c r="G56" s="197"/>
      <c r="H56" s="197"/>
      <c r="I56" s="197"/>
      <c r="J56" s="197"/>
      <c r="K56" s="197"/>
    </row>
    <row r="57" spans="1:11" ht="15.6" x14ac:dyDescent="0.3">
      <c r="A57" s="117"/>
      <c r="B57" s="197"/>
      <c r="C57" s="197"/>
      <c r="D57" s="197"/>
      <c r="E57" s="197"/>
      <c r="F57" s="197"/>
      <c r="G57" s="197"/>
      <c r="H57" s="197"/>
      <c r="I57" s="197"/>
      <c r="J57" s="197"/>
      <c r="K57" s="197"/>
    </row>
    <row r="58" spans="1:11" ht="15" thickBot="1" x14ac:dyDescent="0.35">
      <c r="A58" s="197"/>
      <c r="B58" s="197"/>
      <c r="C58" s="197"/>
      <c r="D58" s="197"/>
      <c r="E58" s="197"/>
      <c r="F58" s="197"/>
      <c r="G58" s="197"/>
      <c r="H58" s="197"/>
      <c r="I58" s="197"/>
      <c r="J58" s="197"/>
      <c r="K58" s="197"/>
    </row>
    <row r="59" spans="1:11" ht="15" thickBot="1" x14ac:dyDescent="0.35">
      <c r="A59" s="198"/>
      <c r="B59" s="199"/>
      <c r="C59" s="197"/>
      <c r="D59" s="197"/>
      <c r="E59" s="197"/>
      <c r="F59" s="197"/>
      <c r="G59" s="197"/>
      <c r="H59" s="200" t="s">
        <v>289</v>
      </c>
      <c r="I59" s="201"/>
      <c r="J59" s="202" t="s">
        <v>290</v>
      </c>
      <c r="K59" s="203" t="s">
        <v>291</v>
      </c>
    </row>
    <row r="60" spans="1:11" x14ac:dyDescent="0.3">
      <c r="A60" s="119" t="s">
        <v>240</v>
      </c>
      <c r="B60" s="204">
        <v>22233671792</v>
      </c>
      <c r="C60" s="205"/>
      <c r="D60" s="205"/>
      <c r="E60" s="205"/>
      <c r="F60" s="205"/>
      <c r="G60" s="197"/>
      <c r="H60" s="206" t="s">
        <v>292</v>
      </c>
      <c r="I60" s="207"/>
      <c r="J60" s="142" t="s">
        <v>260</v>
      </c>
      <c r="K60" s="208" t="s">
        <v>293</v>
      </c>
    </row>
    <row r="61" spans="1:11" x14ac:dyDescent="0.3">
      <c r="A61" s="124" t="s">
        <v>294</v>
      </c>
      <c r="B61" s="209">
        <v>1578590697.2319999</v>
      </c>
      <c r="C61" s="199"/>
      <c r="D61" s="199"/>
      <c r="E61" s="199"/>
      <c r="F61" s="199"/>
      <c r="G61" s="197"/>
      <c r="H61" s="124" t="s">
        <v>295</v>
      </c>
      <c r="I61" s="210"/>
      <c r="J61" s="211">
        <v>2.9975001023434478E-2</v>
      </c>
      <c r="K61" s="212">
        <v>7.0270541510746446E-3</v>
      </c>
    </row>
    <row r="62" spans="1:11" x14ac:dyDescent="0.3">
      <c r="A62" s="124" t="s">
        <v>296</v>
      </c>
      <c r="B62" s="213">
        <v>-49198937.771789551</v>
      </c>
      <c r="C62" s="205"/>
      <c r="D62" s="205"/>
      <c r="E62" s="197"/>
      <c r="F62" s="199"/>
      <c r="G62" s="197"/>
      <c r="H62" s="124" t="s">
        <v>297</v>
      </c>
      <c r="I62" s="210"/>
      <c r="J62" s="211">
        <v>9.3142292757198042E-2</v>
      </c>
      <c r="K62" s="212">
        <v>4.6114107807676039E-2</v>
      </c>
    </row>
    <row r="63" spans="1:11" ht="15" thickBot="1" x14ac:dyDescent="0.35">
      <c r="A63" s="214" t="s">
        <v>298</v>
      </c>
      <c r="B63" s="215">
        <v>20704280032.539791</v>
      </c>
      <c r="C63" s="216"/>
      <c r="D63" s="199"/>
      <c r="E63" s="205"/>
      <c r="F63" s="199"/>
      <c r="G63" s="197"/>
      <c r="H63" s="217" t="s">
        <v>299</v>
      </c>
      <c r="I63" s="218"/>
      <c r="J63" s="219">
        <v>0.87688270621936737</v>
      </c>
      <c r="K63" s="220">
        <v>0.9468588380412496</v>
      </c>
    </row>
    <row r="64" spans="1:11" ht="15" thickBot="1" x14ac:dyDescent="0.35">
      <c r="A64" s="199"/>
      <c r="B64" s="197"/>
      <c r="C64" s="197"/>
      <c r="D64" s="197"/>
      <c r="E64" s="205"/>
      <c r="F64" s="199"/>
      <c r="G64" s="197"/>
      <c r="H64" s="129" t="s">
        <v>300</v>
      </c>
      <c r="I64" s="221"/>
      <c r="J64" s="222">
        <v>0.99999999999999989</v>
      </c>
      <c r="K64" s="223">
        <v>1.0000000000000002</v>
      </c>
    </row>
    <row r="65" spans="1:11" x14ac:dyDescent="0.3">
      <c r="A65" s="198"/>
      <c r="B65" s="198"/>
      <c r="C65" s="198"/>
      <c r="D65" s="198"/>
      <c r="E65" s="198"/>
      <c r="F65" s="198"/>
      <c r="G65" s="198"/>
      <c r="H65" s="458"/>
      <c r="I65" s="458"/>
      <c r="J65" s="198"/>
      <c r="K65" s="198"/>
    </row>
    <row r="66" spans="1:11" x14ac:dyDescent="0.3">
      <c r="A66" s="197"/>
      <c r="B66" s="197"/>
      <c r="C66" s="197"/>
      <c r="D66" s="197"/>
      <c r="E66" s="197"/>
      <c r="F66" s="199"/>
      <c r="G66" s="197"/>
      <c r="H66" s="198"/>
      <c r="I66" s="197"/>
      <c r="J66" s="197"/>
      <c r="K66" s="197"/>
    </row>
    <row r="67" spans="1:11" ht="15" thickBot="1" x14ac:dyDescent="0.35">
      <c r="A67" s="135"/>
      <c r="B67" s="135"/>
      <c r="C67" s="136"/>
      <c r="D67" s="224"/>
      <c r="E67" s="135"/>
      <c r="F67" s="135"/>
      <c r="G67" s="224"/>
      <c r="H67" s="135"/>
      <c r="I67" s="135"/>
      <c r="J67" s="135"/>
      <c r="K67" s="135"/>
    </row>
    <row r="68" spans="1:11" x14ac:dyDescent="0.3">
      <c r="A68" s="225" t="s">
        <v>301</v>
      </c>
      <c r="B68" s="226" t="s">
        <v>302</v>
      </c>
      <c r="C68" s="226" t="s">
        <v>303</v>
      </c>
      <c r="D68" s="226" t="s">
        <v>304</v>
      </c>
      <c r="E68" s="226" t="s">
        <v>305</v>
      </c>
      <c r="F68" s="226" t="s">
        <v>306</v>
      </c>
      <c r="G68" s="226" t="s">
        <v>307</v>
      </c>
      <c r="H68" s="226" t="s">
        <v>308</v>
      </c>
      <c r="I68" s="226" t="s">
        <v>309</v>
      </c>
      <c r="J68" s="226" t="s">
        <v>310</v>
      </c>
      <c r="K68" s="227" t="s">
        <v>311</v>
      </c>
    </row>
    <row r="69" spans="1:11" x14ac:dyDescent="0.3">
      <c r="A69" s="228"/>
      <c r="B69" s="229"/>
      <c r="C69" s="229"/>
      <c r="D69" s="229"/>
      <c r="E69" s="229"/>
      <c r="F69" s="229" t="s">
        <v>312</v>
      </c>
      <c r="G69" s="229" t="s">
        <v>312</v>
      </c>
      <c r="H69" s="229" t="s">
        <v>312</v>
      </c>
      <c r="I69" s="229"/>
      <c r="J69" s="229" t="s">
        <v>255</v>
      </c>
      <c r="K69" s="230" t="s">
        <v>259</v>
      </c>
    </row>
    <row r="70" spans="1:11" x14ac:dyDescent="0.3">
      <c r="A70" s="228"/>
      <c r="B70" s="229" t="s">
        <v>360</v>
      </c>
      <c r="C70" s="229" t="s">
        <v>313</v>
      </c>
      <c r="D70" s="229" t="s">
        <v>312</v>
      </c>
      <c r="E70" s="229" t="s">
        <v>117</v>
      </c>
      <c r="F70" s="229" t="s">
        <v>314</v>
      </c>
      <c r="G70" s="229" t="s">
        <v>314</v>
      </c>
      <c r="H70" s="229" t="s">
        <v>314</v>
      </c>
      <c r="I70" s="229" t="s">
        <v>315</v>
      </c>
      <c r="J70" s="229" t="s">
        <v>261</v>
      </c>
      <c r="K70" s="230" t="s">
        <v>255</v>
      </c>
    </row>
    <row r="71" spans="1:11" x14ac:dyDescent="0.3">
      <c r="A71" s="228" t="s">
        <v>263</v>
      </c>
      <c r="B71" s="229" t="s">
        <v>361</v>
      </c>
      <c r="C71" s="229" t="s">
        <v>270</v>
      </c>
      <c r="D71" s="229" t="s">
        <v>316</v>
      </c>
      <c r="E71" s="229" t="s">
        <v>317</v>
      </c>
      <c r="F71" s="229" t="s">
        <v>318</v>
      </c>
      <c r="G71" s="229" t="s">
        <v>319</v>
      </c>
      <c r="H71" s="229" t="s">
        <v>320</v>
      </c>
      <c r="I71" s="229" t="s">
        <v>270</v>
      </c>
      <c r="J71" s="229" t="s">
        <v>267</v>
      </c>
      <c r="K71" s="230" t="s">
        <v>119</v>
      </c>
    </row>
    <row r="72" spans="1:11" x14ac:dyDescent="0.3">
      <c r="A72" s="144"/>
      <c r="B72" s="145"/>
      <c r="C72" s="145"/>
      <c r="D72" s="145"/>
      <c r="E72" s="145"/>
      <c r="F72" s="145"/>
      <c r="G72" s="145"/>
      <c r="H72" s="145"/>
      <c r="I72" s="145"/>
      <c r="J72" s="229" t="s">
        <v>270</v>
      </c>
      <c r="K72" s="231"/>
    </row>
    <row r="73" spans="1:11" x14ac:dyDescent="0.3">
      <c r="A73" s="147"/>
      <c r="B73" s="149">
        <v>0</v>
      </c>
      <c r="C73" s="150" t="s">
        <v>321</v>
      </c>
      <c r="D73" s="149" t="s">
        <v>322</v>
      </c>
      <c r="E73" s="150" t="s">
        <v>362</v>
      </c>
      <c r="F73" s="150" t="s">
        <v>323</v>
      </c>
      <c r="G73" s="149" t="s">
        <v>322</v>
      </c>
      <c r="H73" s="150" t="s">
        <v>363</v>
      </c>
      <c r="I73" s="149" t="s">
        <v>324</v>
      </c>
      <c r="J73" s="150" t="s">
        <v>325</v>
      </c>
      <c r="K73" s="232" t="s">
        <v>326</v>
      </c>
    </row>
    <row r="74" spans="1:11" x14ac:dyDescent="0.3">
      <c r="A74" s="147"/>
      <c r="B74" s="149" t="s">
        <v>364</v>
      </c>
      <c r="C74" s="150" t="s">
        <v>327</v>
      </c>
      <c r="D74" s="149"/>
      <c r="E74" s="150"/>
      <c r="F74" s="150"/>
      <c r="G74" s="149"/>
      <c r="H74" s="150"/>
      <c r="I74" s="149" t="s">
        <v>328</v>
      </c>
      <c r="J74" s="150"/>
      <c r="K74" s="232"/>
    </row>
    <row r="75" spans="1:11" x14ac:dyDescent="0.3">
      <c r="A75" s="152" t="s">
        <v>279</v>
      </c>
      <c r="B75" s="153" t="s">
        <v>279</v>
      </c>
      <c r="C75" s="153" t="s">
        <v>279</v>
      </c>
      <c r="D75" s="153" t="s">
        <v>279</v>
      </c>
      <c r="E75" s="153" t="s">
        <v>279</v>
      </c>
      <c r="F75" s="153" t="s">
        <v>279</v>
      </c>
      <c r="G75" s="153" t="s">
        <v>279</v>
      </c>
      <c r="H75" s="153" t="s">
        <v>279</v>
      </c>
      <c r="I75" s="153" t="s">
        <v>329</v>
      </c>
      <c r="J75" s="153" t="s">
        <v>279</v>
      </c>
      <c r="K75" s="233" t="s">
        <v>279</v>
      </c>
    </row>
    <row r="76" spans="1:11" x14ac:dyDescent="0.3">
      <c r="A76" s="155" t="s">
        <v>282</v>
      </c>
      <c r="B76" s="234">
        <v>10497389420.49617</v>
      </c>
      <c r="C76" s="180">
        <v>-24944620.535152167</v>
      </c>
      <c r="D76" s="235">
        <v>1626541.6907758305</v>
      </c>
      <c r="E76" s="180">
        <v>1195484.5662055956</v>
      </c>
      <c r="F76" s="236">
        <v>0.73498550512736716</v>
      </c>
      <c r="G76" s="235">
        <v>251673.71992420664</v>
      </c>
      <c r="H76" s="180">
        <v>1620394456.8122025</v>
      </c>
      <c r="I76" s="180">
        <v>866208837.55113983</v>
      </c>
      <c r="J76" s="180">
        <v>11338653637.512157</v>
      </c>
      <c r="K76" s="237">
        <v>7.6394329101422034E-2</v>
      </c>
    </row>
    <row r="77" spans="1:11" x14ac:dyDescent="0.3">
      <c r="A77" s="161">
        <v>24</v>
      </c>
      <c r="B77" s="234">
        <v>2689866724.7775373</v>
      </c>
      <c r="C77" s="180">
        <v>-6391846.7775140246</v>
      </c>
      <c r="D77" s="235">
        <v>383616.17135738832</v>
      </c>
      <c r="E77" s="180">
        <v>306332.74863013963</v>
      </c>
      <c r="F77" s="236">
        <v>0.79853971626433562</v>
      </c>
      <c r="G77" s="235">
        <v>59234.060525990433</v>
      </c>
      <c r="H77" s="180">
        <v>414354568.99793386</v>
      </c>
      <c r="I77" s="180">
        <v>221500134.14128894</v>
      </c>
      <c r="J77" s="180">
        <v>2904975012.1413121</v>
      </c>
      <c r="K77" s="237">
        <v>7.6248550578070895E-2</v>
      </c>
    </row>
    <row r="78" spans="1:11" x14ac:dyDescent="0.3">
      <c r="A78" s="161">
        <v>25</v>
      </c>
      <c r="B78" s="234">
        <v>2979551170.6691647</v>
      </c>
      <c r="C78" s="180">
        <v>-7080214.9315613108</v>
      </c>
      <c r="D78" s="235">
        <v>432908.50216168351</v>
      </c>
      <c r="E78" s="180">
        <v>339323.16846319672</v>
      </c>
      <c r="F78" s="236">
        <v>0.78382190871470947</v>
      </c>
      <c r="G78" s="235">
        <v>66635.147110322345</v>
      </c>
      <c r="H78" s="180">
        <v>457535572.5925653</v>
      </c>
      <c r="I78" s="180">
        <v>244583258.60567498</v>
      </c>
      <c r="J78" s="180">
        <v>3217054214.3432779</v>
      </c>
      <c r="K78" s="237">
        <v>7.6027086368391728E-2</v>
      </c>
    </row>
    <row r="79" spans="1:11" x14ac:dyDescent="0.3">
      <c r="A79" s="161">
        <v>26</v>
      </c>
      <c r="B79" s="234">
        <v>1901973153.8160584</v>
      </c>
      <c r="C79" s="180">
        <v>-4519599.7489960399</v>
      </c>
      <c r="D79" s="235">
        <v>256067.09075776031</v>
      </c>
      <c r="E79" s="180">
        <v>216604.28699395689</v>
      </c>
      <c r="F79" s="236">
        <v>0.84588881122121518</v>
      </c>
      <c r="G79" s="235">
        <v>39135.120706198133</v>
      </c>
      <c r="H79" s="180">
        <v>289990696.0050028</v>
      </c>
      <c r="I79" s="180">
        <v>155019355.09043258</v>
      </c>
      <c r="J79" s="180">
        <v>2052472909.157495</v>
      </c>
      <c r="K79" s="237">
        <v>7.552808828744316E-2</v>
      </c>
    </row>
    <row r="80" spans="1:11" x14ac:dyDescent="0.3">
      <c r="A80" s="161">
        <v>29</v>
      </c>
      <c r="B80" s="234">
        <v>16475530.202172358</v>
      </c>
      <c r="C80" s="180">
        <v>-39150.29085290456</v>
      </c>
      <c r="D80" s="235">
        <v>1926.7026364139044</v>
      </c>
      <c r="E80" s="180">
        <v>1876.2990766346409</v>
      </c>
      <c r="F80" s="236">
        <v>0.97383947121540371</v>
      </c>
      <c r="G80" s="235">
        <v>286.47962012725094</v>
      </c>
      <c r="H80" s="180">
        <v>2443910.0171815148</v>
      </c>
      <c r="I80" s="180">
        <v>1306432.792436867</v>
      </c>
      <c r="J80" s="180">
        <v>17742812.703756321</v>
      </c>
      <c r="K80" s="237">
        <v>7.3631662253881694E-2</v>
      </c>
    </row>
    <row r="81" spans="1:11" x14ac:dyDescent="0.3">
      <c r="A81" s="155">
        <v>31</v>
      </c>
      <c r="B81" s="234">
        <v>1297584516.8405302</v>
      </c>
      <c r="C81" s="180">
        <v>-3083409.7972661373</v>
      </c>
      <c r="D81" s="235">
        <v>169381.15576487154</v>
      </c>
      <c r="E81" s="180">
        <v>147774.09897754155</v>
      </c>
      <c r="F81" s="236">
        <v>0.87243529724567426</v>
      </c>
      <c r="G81" s="235">
        <v>11972.725430804838</v>
      </c>
      <c r="H81" s="180">
        <v>91501951.645769939</v>
      </c>
      <c r="I81" s="180">
        <v>48913891.821544841</v>
      </c>
      <c r="J81" s="180">
        <v>1343414998.8648088</v>
      </c>
      <c r="K81" s="237">
        <v>3.6410112930760248E-2</v>
      </c>
    </row>
    <row r="82" spans="1:11" x14ac:dyDescent="0.3">
      <c r="A82" s="155">
        <v>35</v>
      </c>
      <c r="B82" s="234">
        <v>4443660</v>
      </c>
      <c r="C82" s="180">
        <v>-10559.331282005071</v>
      </c>
      <c r="D82" s="235">
        <v>430.7000000000001</v>
      </c>
      <c r="E82" s="180">
        <v>506.06172017328714</v>
      </c>
      <c r="F82" s="236">
        <v>1.1749749713798165</v>
      </c>
      <c r="G82" s="235">
        <v>29.892050561080193</v>
      </c>
      <c r="H82" s="180">
        <v>307672.32257180562</v>
      </c>
      <c r="I82" s="180">
        <v>164471.36298274217</v>
      </c>
      <c r="J82" s="180">
        <v>4597572.0317007378</v>
      </c>
      <c r="K82" s="237">
        <v>3.577352608043876E-2</v>
      </c>
    </row>
    <row r="83" spans="1:11" x14ac:dyDescent="0.3">
      <c r="A83" s="155">
        <v>40</v>
      </c>
      <c r="B83" s="234">
        <v>499634378.34003699</v>
      </c>
      <c r="C83" s="180">
        <v>-1187265.6595624122</v>
      </c>
      <c r="D83" s="235">
        <v>67652.62769578585</v>
      </c>
      <c r="E83" s="180">
        <v>56900.355328821301</v>
      </c>
      <c r="F83" s="236">
        <v>0.84106644881091119</v>
      </c>
      <c r="G83" s="235">
        <v>4787.109062591654</v>
      </c>
      <c r="H83" s="180">
        <v>35270184.937457755</v>
      </c>
      <c r="I83" s="180">
        <v>18854264.630719971</v>
      </c>
      <c r="J83" s="180">
        <v>517301377.31119454</v>
      </c>
      <c r="K83" s="237">
        <v>3.6447350534266516E-2</v>
      </c>
    </row>
    <row r="84" spans="1:11" x14ac:dyDescent="0.3">
      <c r="A84" s="161">
        <v>43</v>
      </c>
      <c r="B84" s="234">
        <v>119697406.93726367</v>
      </c>
      <c r="C84" s="180">
        <v>-284433.23149105441</v>
      </c>
      <c r="D84" s="235">
        <v>23873.502004593163</v>
      </c>
      <c r="E84" s="180">
        <v>13631.618002942079</v>
      </c>
      <c r="F84" s="236">
        <v>0.57099364811745723</v>
      </c>
      <c r="G84" s="235">
        <v>1717.1642671213274</v>
      </c>
      <c r="H84" s="180">
        <v>8589091.4302727878</v>
      </c>
      <c r="I84" s="180">
        <v>4591441.8382260064</v>
      </c>
      <c r="J84" s="180">
        <v>124004415.54399861</v>
      </c>
      <c r="K84" s="237">
        <v>3.7026438277086147E-2</v>
      </c>
    </row>
    <row r="85" spans="1:11" x14ac:dyDescent="0.3">
      <c r="A85" s="161">
        <v>46</v>
      </c>
      <c r="B85" s="234">
        <v>78351494.123954177</v>
      </c>
      <c r="C85" s="180">
        <v>-186184.22266665444</v>
      </c>
      <c r="D85" s="235">
        <v>9747.4433333333327</v>
      </c>
      <c r="E85" s="180">
        <v>8922.9805823387578</v>
      </c>
      <c r="F85" s="236">
        <v>0.91541753844568041</v>
      </c>
      <c r="G85" s="235">
        <v>328.50171941937214</v>
      </c>
      <c r="H85" s="180">
        <v>2634274.221806644</v>
      </c>
      <c r="I85" s="180">
        <v>1408195.1477118155</v>
      </c>
      <c r="J85" s="180">
        <v>79573505.048999339</v>
      </c>
      <c r="K85" s="237">
        <v>1.7696784210330874E-2</v>
      </c>
    </row>
    <row r="86" spans="1:11" x14ac:dyDescent="0.3">
      <c r="A86" s="161">
        <v>49</v>
      </c>
      <c r="B86" s="234">
        <v>542259321.04090011</v>
      </c>
      <c r="C86" s="180">
        <v>-1288553.9873946265</v>
      </c>
      <c r="D86" s="235">
        <v>69168.869083333324</v>
      </c>
      <c r="E86" s="180">
        <v>61754.653773231228</v>
      </c>
      <c r="F86" s="236">
        <v>0.89280993880108706</v>
      </c>
      <c r="G86" s="235">
        <v>2316.428070316711</v>
      </c>
      <c r="H86" s="180">
        <v>18116818.832382068</v>
      </c>
      <c r="I86" s="180">
        <v>9684647.1641201265</v>
      </c>
      <c r="J86" s="180">
        <v>550655414.21762562</v>
      </c>
      <c r="K86" s="237">
        <v>1.7587491040799316E-2</v>
      </c>
    </row>
    <row r="87" spans="1:11" x14ac:dyDescent="0.3">
      <c r="A87" s="161" t="s">
        <v>283</v>
      </c>
      <c r="B87" s="234">
        <v>7084150</v>
      </c>
      <c r="C87" s="180">
        <v>-16833.84568158145</v>
      </c>
      <c r="D87" s="235">
        <v>831.0577259435554</v>
      </c>
      <c r="E87" s="180">
        <v>806.77125049297013</v>
      </c>
      <c r="F87" s="236">
        <v>0.97077642780709217</v>
      </c>
      <c r="G87" s="235">
        <v>59.66445045864188</v>
      </c>
      <c r="H87" s="180">
        <v>507386.57664982701</v>
      </c>
      <c r="I87" s="180">
        <v>271231.9428773729</v>
      </c>
      <c r="J87" s="180">
        <v>7338548.0971957911</v>
      </c>
      <c r="K87" s="237">
        <v>3.6959891695881389E-2</v>
      </c>
    </row>
    <row r="88" spans="1:11" x14ac:dyDescent="0.3">
      <c r="A88" s="155" t="s">
        <v>330</v>
      </c>
      <c r="B88" s="234">
        <v>69969105.295999989</v>
      </c>
      <c r="C88" s="180">
        <v>-166265.41236862389</v>
      </c>
      <c r="D88" s="235">
        <v>2661.2756900677418</v>
      </c>
      <c r="E88" s="180">
        <v>7968.3607173095161</v>
      </c>
      <c r="F88" s="236">
        <v>2.9941883687768871</v>
      </c>
      <c r="G88" s="235">
        <v>433.95262242340772</v>
      </c>
      <c r="H88" s="180">
        <v>11382182.437225064</v>
      </c>
      <c r="I88" s="180">
        <v>6084535.142844162</v>
      </c>
      <c r="J88" s="180">
        <v>75887375.026475519</v>
      </c>
      <c r="K88" s="237">
        <v>8.0178490041609624E-2</v>
      </c>
    </row>
    <row r="89" spans="1:11" x14ac:dyDescent="0.3">
      <c r="A89" s="152" t="s">
        <v>279</v>
      </c>
      <c r="B89" s="153" t="s">
        <v>279</v>
      </c>
      <c r="C89" s="153" t="s">
        <v>279</v>
      </c>
      <c r="D89" s="153" t="s">
        <v>279</v>
      </c>
      <c r="E89" s="153" t="s">
        <v>279</v>
      </c>
      <c r="F89" s="153" t="s">
        <v>279</v>
      </c>
      <c r="G89" s="153" t="s">
        <v>279</v>
      </c>
      <c r="H89" s="153" t="s">
        <v>279</v>
      </c>
      <c r="I89" s="153" t="s">
        <v>329</v>
      </c>
      <c r="J89" s="153" t="s">
        <v>279</v>
      </c>
      <c r="K89" s="233" t="s">
        <v>279</v>
      </c>
    </row>
    <row r="90" spans="1:11" x14ac:dyDescent="0.3">
      <c r="A90" s="163" t="s">
        <v>12</v>
      </c>
      <c r="B90" s="164">
        <v>20704280032.539791</v>
      </c>
      <c r="C90" s="187">
        <v>-49198937.771789551</v>
      </c>
      <c r="D90" s="164">
        <v>3044806.7889870051</v>
      </c>
      <c r="E90" s="164">
        <v>2357885.9697223743</v>
      </c>
      <c r="F90" s="238">
        <v>0.77439592497323395</v>
      </c>
      <c r="G90" s="164">
        <v>438609.9655605419</v>
      </c>
      <c r="H90" s="164">
        <v>2953028766.829021</v>
      </c>
      <c r="I90" s="164">
        <v>1578590697.2319999</v>
      </c>
      <c r="J90" s="164">
        <v>22233671791.999989</v>
      </c>
      <c r="K90" s="239">
        <v>7.0999999999999994E-2</v>
      </c>
    </row>
    <row r="91" spans="1:11" ht="15" thickBot="1" x14ac:dyDescent="0.35">
      <c r="A91" s="168"/>
      <c r="B91" s="169"/>
      <c r="C91" s="169"/>
      <c r="D91" s="169"/>
      <c r="E91" s="169"/>
      <c r="F91" s="169"/>
      <c r="G91" s="169"/>
      <c r="H91" s="171"/>
      <c r="I91" s="169"/>
      <c r="J91" s="169"/>
      <c r="K91" s="240"/>
    </row>
    <row r="92" spans="1:11" x14ac:dyDescent="0.3">
      <c r="A92" s="163"/>
      <c r="B92" s="193"/>
      <c r="C92" s="193"/>
      <c r="D92" s="193"/>
      <c r="E92" s="193"/>
      <c r="F92" s="193"/>
      <c r="G92" s="193"/>
      <c r="H92" s="241"/>
      <c r="I92" s="193"/>
      <c r="J92" s="193"/>
      <c r="K92" s="193"/>
    </row>
    <row r="93" spans="1:11" x14ac:dyDescent="0.3">
      <c r="A93" s="163"/>
      <c r="B93" s="193"/>
      <c r="C93" s="193"/>
      <c r="D93" s="193"/>
      <c r="E93" s="193"/>
      <c r="F93" s="193"/>
      <c r="G93" s="193"/>
      <c r="H93" s="241"/>
      <c r="I93" s="193"/>
      <c r="J93" s="193"/>
      <c r="K93" s="193"/>
    </row>
    <row r="94" spans="1:11" ht="15" thickBot="1" x14ac:dyDescent="0.35">
      <c r="A94" s="242" t="s">
        <v>285</v>
      </c>
      <c r="B94" s="193"/>
      <c r="C94" s="193"/>
      <c r="D94" s="224"/>
      <c r="E94" s="243"/>
      <c r="F94" s="243"/>
      <c r="G94" s="224"/>
      <c r="H94" s="241"/>
      <c r="I94" s="193"/>
      <c r="J94" s="193"/>
      <c r="K94" s="193"/>
    </row>
    <row r="95" spans="1:11" x14ac:dyDescent="0.3">
      <c r="A95" s="174">
        <v>459</v>
      </c>
      <c r="B95" s="244">
        <v>293153938.24000144</v>
      </c>
      <c r="C95" s="176"/>
      <c r="D95" s="245">
        <v>34976.057500000003</v>
      </c>
      <c r="E95" s="244">
        <v>33465.061442922539</v>
      </c>
      <c r="F95" s="246">
        <v>0.95679913160374164</v>
      </c>
      <c r="G95" s="245">
        <v>602.89324255624524</v>
      </c>
      <c r="H95" s="176">
        <v>5053186.1229255954</v>
      </c>
      <c r="I95" s="176">
        <v>5053186.1229255954</v>
      </c>
      <c r="J95" s="176">
        <v>298207124.36292702</v>
      </c>
      <c r="K95" s="247">
        <v>1.6945222666027646E-2</v>
      </c>
    </row>
    <row r="96" spans="1:11" x14ac:dyDescent="0.3">
      <c r="A96" s="161" t="s">
        <v>286</v>
      </c>
      <c r="B96" s="234">
        <v>1661664054.6089966</v>
      </c>
      <c r="C96" s="180"/>
      <c r="D96" s="248">
        <v>198654.46691666663</v>
      </c>
      <c r="E96" s="180">
        <v>189687.67746678044</v>
      </c>
      <c r="F96" s="249">
        <v>0.95486238195868178</v>
      </c>
      <c r="G96" s="248">
        <v>3417.3377848405798</v>
      </c>
      <c r="H96" s="180">
        <v>28584644.723386865</v>
      </c>
      <c r="I96" s="180">
        <v>28584644.723386865</v>
      </c>
      <c r="J96" s="180">
        <v>1690248699.3323834</v>
      </c>
      <c r="K96" s="237">
        <v>1.6911502274592646E-2</v>
      </c>
    </row>
    <row r="97" spans="1:11" x14ac:dyDescent="0.3">
      <c r="A97" s="161" t="s">
        <v>287</v>
      </c>
      <c r="B97" s="234">
        <v>74975062.919999987</v>
      </c>
      <c r="C97" s="180"/>
      <c r="D97" s="248">
        <v>8915.4699999999993</v>
      </c>
      <c r="E97" s="180">
        <v>8558.7971369863008</v>
      </c>
      <c r="F97" s="249">
        <v>0.95999393604445993</v>
      </c>
      <c r="G97" s="248">
        <v>323.40186887696836</v>
      </c>
      <c r="H97" s="180">
        <v>2719663.1773194559</v>
      </c>
      <c r="I97" s="180">
        <v>2719663.1773194559</v>
      </c>
      <c r="J97" s="180">
        <v>77694726.097319439</v>
      </c>
      <c r="K97" s="237">
        <v>3.5004476029850982E-2</v>
      </c>
    </row>
    <row r="98" spans="1:11" x14ac:dyDescent="0.3">
      <c r="A98" s="184" t="s">
        <v>279</v>
      </c>
      <c r="B98" s="250" t="s">
        <v>279</v>
      </c>
      <c r="C98" s="250"/>
      <c r="D98" s="250" t="s">
        <v>279</v>
      </c>
      <c r="E98" s="250" t="s">
        <v>279</v>
      </c>
      <c r="F98" s="250" t="s">
        <v>279</v>
      </c>
      <c r="G98" s="250" t="s">
        <v>279</v>
      </c>
      <c r="H98" s="250" t="s">
        <v>279</v>
      </c>
      <c r="I98" s="250" t="s">
        <v>329</v>
      </c>
      <c r="J98" s="250" t="s">
        <v>279</v>
      </c>
      <c r="K98" s="251" t="s">
        <v>279</v>
      </c>
    </row>
    <row r="99" spans="1:11" x14ac:dyDescent="0.3">
      <c r="A99" s="163" t="s">
        <v>288</v>
      </c>
      <c r="B99" s="164">
        <v>2029793055.7689981</v>
      </c>
      <c r="C99" s="187"/>
      <c r="D99" s="164">
        <v>242545.99441666662</v>
      </c>
      <c r="E99" s="164">
        <v>231711.53604668929</v>
      </c>
      <c r="F99" s="238">
        <v>0.95533029355510624</v>
      </c>
      <c r="G99" s="164">
        <v>4343.6328962737934</v>
      </c>
      <c r="H99" s="164">
        <v>36357494.023631915</v>
      </c>
      <c r="I99" s="164">
        <v>36357494.023631915</v>
      </c>
      <c r="J99" s="164">
        <v>2066150549.7926297</v>
      </c>
      <c r="K99" s="239">
        <v>1.7911921572644103E-2</v>
      </c>
    </row>
    <row r="100" spans="1:11" ht="15" thickBot="1" x14ac:dyDescent="0.35">
      <c r="A100" s="168"/>
      <c r="B100" s="169"/>
      <c r="C100" s="169"/>
      <c r="D100" s="169"/>
      <c r="E100" s="169"/>
      <c r="F100" s="169"/>
      <c r="G100" s="169"/>
      <c r="H100" s="171"/>
      <c r="I100" s="169"/>
      <c r="J100" s="169"/>
      <c r="K100" s="240"/>
    </row>
    <row r="101" spans="1:11" x14ac:dyDescent="0.3">
      <c r="A101" s="193"/>
      <c r="B101" s="193"/>
      <c r="C101" s="193"/>
      <c r="D101" s="193"/>
      <c r="E101" s="193"/>
      <c r="F101" s="193"/>
      <c r="G101" s="193"/>
      <c r="H101" s="241"/>
      <c r="I101" s="193"/>
      <c r="J101" s="193"/>
      <c r="K101" s="193"/>
    </row>
    <row r="102" spans="1:11" x14ac:dyDescent="0.3">
      <c r="A102" s="252" t="s">
        <v>331</v>
      </c>
      <c r="B102" s="193"/>
      <c r="C102" s="193"/>
      <c r="D102" s="193"/>
      <c r="E102" s="193"/>
      <c r="F102" s="193"/>
      <c r="G102" s="193"/>
      <c r="H102" s="241"/>
      <c r="I102" s="193"/>
      <c r="J102" s="193"/>
      <c r="K102" s="193"/>
    </row>
    <row r="103" spans="1:11" x14ac:dyDescent="0.3">
      <c r="A103" s="253" t="s">
        <v>332</v>
      </c>
      <c r="B103" s="135"/>
      <c r="C103" s="135"/>
      <c r="D103" s="135"/>
      <c r="E103" s="135"/>
      <c r="F103" s="135"/>
      <c r="G103" s="135"/>
      <c r="H103" s="135"/>
      <c r="I103" s="135"/>
      <c r="J103" s="135"/>
      <c r="K103" s="135"/>
    </row>
    <row r="104" spans="1:11" x14ac:dyDescent="0.3">
      <c r="A104" s="253" t="s">
        <v>333</v>
      </c>
      <c r="B104" s="135"/>
      <c r="C104" s="135"/>
      <c r="D104" s="135"/>
      <c r="E104" s="135"/>
      <c r="F104" s="135"/>
      <c r="G104" s="135"/>
      <c r="H104" s="135"/>
      <c r="I104" s="135"/>
      <c r="J104" s="135"/>
      <c r="K104" s="135"/>
    </row>
    <row r="105" spans="1:11" x14ac:dyDescent="0.3">
      <c r="A105" s="135"/>
      <c r="B105" s="135"/>
      <c r="C105" s="135"/>
      <c r="D105" s="135"/>
      <c r="E105" s="135"/>
      <c r="F105" s="135"/>
      <c r="G105" s="135"/>
      <c r="H105" s="135"/>
      <c r="I105" s="135"/>
      <c r="J105" s="135"/>
      <c r="K105" s="135"/>
    </row>
    <row r="106" spans="1:11" x14ac:dyDescent="0.3">
      <c r="A106" s="135"/>
      <c r="B106" s="135"/>
      <c r="C106" s="135"/>
      <c r="D106" s="135"/>
      <c r="E106" s="135"/>
      <c r="F106" s="135"/>
      <c r="G106" s="135"/>
      <c r="H106" s="135"/>
      <c r="I106" s="135"/>
      <c r="J106" s="135"/>
      <c r="K106" s="135"/>
    </row>
    <row r="107" spans="1:11" x14ac:dyDescent="0.3">
      <c r="A107" s="254" t="s">
        <v>334</v>
      </c>
      <c r="B107" s="255">
        <v>18155225105.257103</v>
      </c>
      <c r="C107" s="255">
        <v>-43141697.696445078</v>
      </c>
      <c r="D107" s="255">
        <v>2703721.4333791439</v>
      </c>
      <c r="E107" s="255">
        <v>2061940.2786385084</v>
      </c>
      <c r="F107" s="255">
        <v>0.76263044453565265</v>
      </c>
      <c r="G107" s="255">
        <v>417398.48050926824</v>
      </c>
      <c r="H107" s="255">
        <v>2796101386.8621106</v>
      </c>
      <c r="I107" s="255">
        <v>1494702553.3238175</v>
      </c>
      <c r="J107" s="255">
        <v>19606785960.884476</v>
      </c>
      <c r="K107" s="256">
        <v>7.6233940448258472E-2</v>
      </c>
    </row>
    <row r="108" spans="1:11" x14ac:dyDescent="0.3">
      <c r="A108" s="254" t="s">
        <v>335</v>
      </c>
      <c r="B108" s="255">
        <v>1928444112.117831</v>
      </c>
      <c r="C108" s="255">
        <v>-4582501.8652831903</v>
      </c>
      <c r="D108" s="255">
        <v>262169.04319119413</v>
      </c>
      <c r="E108" s="255">
        <v>219018.85362620078</v>
      </c>
      <c r="F108" s="255">
        <v>0.83541081342115264</v>
      </c>
      <c r="G108" s="255">
        <v>18566.555261537538</v>
      </c>
      <c r="H108" s="255">
        <v>136176286.91272208</v>
      </c>
      <c r="I108" s="255">
        <v>72795301.596350923</v>
      </c>
      <c r="J108" s="255">
        <v>1996656911.8488986</v>
      </c>
      <c r="K108" s="256">
        <v>3.6458592943212603E-2</v>
      </c>
    </row>
    <row r="109" spans="1:11" x14ac:dyDescent="0.3">
      <c r="A109" s="257" t="s">
        <v>336</v>
      </c>
      <c r="B109" s="258">
        <v>620610815.16485429</v>
      </c>
      <c r="C109" s="258">
        <v>-1474738.210061281</v>
      </c>
      <c r="D109" s="258">
        <v>78916.312416666653</v>
      </c>
      <c r="E109" s="258">
        <v>70484.526064980979</v>
      </c>
      <c r="F109" s="258">
        <v>0.89315534274882147</v>
      </c>
      <c r="G109" s="258">
        <v>2644.929789736083</v>
      </c>
      <c r="H109" s="258">
        <v>20751093.054188713</v>
      </c>
      <c r="I109" s="258">
        <v>11092842.311831942</v>
      </c>
      <c r="J109" s="258">
        <v>630228919.26662493</v>
      </c>
      <c r="K109" s="259">
        <v>1.7601290535414163E-2</v>
      </c>
    </row>
    <row r="110" spans="1:11" x14ac:dyDescent="0.3">
      <c r="A110" s="254" t="s">
        <v>12</v>
      </c>
      <c r="B110" s="255">
        <v>20704280032.539791</v>
      </c>
      <c r="C110" s="255">
        <v>-49198937.771789551</v>
      </c>
      <c r="D110" s="255">
        <v>3044806.7889870047</v>
      </c>
      <c r="E110" s="255">
        <v>2351443.6583296899</v>
      </c>
      <c r="F110" s="255"/>
      <c r="G110" s="255">
        <v>438609.9655605419</v>
      </c>
      <c r="H110" s="255">
        <v>2953028766.8290215</v>
      </c>
      <c r="I110" s="255">
        <v>1578590697.2320004</v>
      </c>
      <c r="J110" s="255">
        <v>22233671792</v>
      </c>
      <c r="K110" s="254"/>
    </row>
  </sheetData>
  <mergeCells count="1">
    <mergeCell ref="H65:I65"/>
  </mergeCells>
  <printOptions horizontalCentered="1"/>
  <pageMargins left="0.25" right="0.25" top="0.75" bottom="0.75" header="0.3" footer="0.3"/>
  <pageSetup scale="60" fitToHeight="0" orientation="landscape" r:id="rId1"/>
  <headerFooter>
    <oddFooter>&amp;L&amp;"Times New Roman,Regular"&amp;F
&amp;A&amp;R&amp;"Times New Roman,Regular"Page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51"/>
  <sheetViews>
    <sheetView zoomScaleNormal="100" workbookViewId="0">
      <pane xSplit="3" ySplit="6" topLeftCell="D7" activePane="bottomRight" state="frozen"/>
      <selection activeCell="A4" sqref="A1:XFD1048576"/>
      <selection pane="topRight" activeCell="A4" sqref="A1:XFD1048576"/>
      <selection pane="bottomLeft" activeCell="A4" sqref="A1:XFD1048576"/>
      <selection pane="bottomRight" activeCell="A4" sqref="A4"/>
    </sheetView>
  </sheetViews>
  <sheetFormatPr defaultColWidth="9.109375" defaultRowHeight="13.2" x14ac:dyDescent="0.25"/>
  <cols>
    <col min="1" max="1" width="4.44140625" style="15" bestFit="1" customWidth="1"/>
    <col min="2" max="2" width="30.88671875" style="14" bestFit="1" customWidth="1"/>
    <col min="3" max="3" width="13.44140625" style="15" bestFit="1" customWidth="1"/>
    <col min="4" max="4" width="16.33203125" style="70" bestFit="1" customWidth="1"/>
    <col min="5" max="5" width="17.6640625" style="70" bestFit="1" customWidth="1"/>
    <col min="6" max="6" width="14.6640625" style="70" bestFit="1" customWidth="1"/>
    <col min="7" max="7" width="15.33203125" style="14" bestFit="1" customWidth="1"/>
    <col min="8" max="8" width="17.6640625" style="14" bestFit="1" customWidth="1"/>
    <col min="9" max="9" width="16.33203125" style="70" bestFit="1" customWidth="1"/>
    <col min="10" max="10" width="14.44140625" style="14" customWidth="1"/>
    <col min="11" max="11" width="10.5546875" style="14" customWidth="1"/>
    <col min="12" max="12" width="9.109375" style="14"/>
    <col min="13" max="13" width="17.6640625" style="14" bestFit="1" customWidth="1"/>
    <col min="14" max="14" width="15.5546875" style="14" bestFit="1" customWidth="1"/>
    <col min="15" max="16384" width="9.109375" style="14"/>
  </cols>
  <sheetData>
    <row r="1" spans="1:14" x14ac:dyDescent="0.25">
      <c r="A1" s="7" t="s">
        <v>13</v>
      </c>
      <c r="B1" s="8"/>
      <c r="C1" s="8"/>
      <c r="D1" s="8"/>
      <c r="E1" s="8"/>
      <c r="F1" s="8"/>
      <c r="G1" s="8"/>
      <c r="H1" s="8"/>
      <c r="I1" s="8"/>
      <c r="J1" s="8"/>
      <c r="K1" s="9"/>
    </row>
    <row r="2" spans="1:14" x14ac:dyDescent="0.25">
      <c r="A2" s="10" t="s">
        <v>74</v>
      </c>
      <c r="B2" s="11"/>
      <c r="C2" s="11"/>
      <c r="D2" s="11"/>
      <c r="E2" s="11"/>
      <c r="F2" s="11"/>
      <c r="G2" s="11"/>
      <c r="H2" s="11"/>
      <c r="I2" s="11"/>
      <c r="J2" s="11"/>
      <c r="K2" s="12"/>
    </row>
    <row r="3" spans="1:14" x14ac:dyDescent="0.25">
      <c r="A3" s="13"/>
      <c r="K3" s="16"/>
    </row>
    <row r="4" spans="1:14" s="18" customFormat="1" ht="13.8" thickBot="1" x14ac:dyDescent="0.3">
      <c r="A4" s="17"/>
      <c r="D4" s="19"/>
      <c r="E4" s="19"/>
      <c r="F4" s="19"/>
      <c r="G4" s="20"/>
      <c r="H4" s="19"/>
      <c r="I4" s="19"/>
      <c r="J4" s="20"/>
      <c r="K4" s="21"/>
    </row>
    <row r="5" spans="1:14" s="18" customFormat="1" ht="66.599999999999994" thickBot="1" x14ac:dyDescent="0.3">
      <c r="A5" s="22" t="s">
        <v>0</v>
      </c>
      <c r="B5" s="23" t="s">
        <v>17</v>
      </c>
      <c r="C5" s="23" t="s">
        <v>18</v>
      </c>
      <c r="D5" s="24" t="s">
        <v>433</v>
      </c>
      <c r="E5" s="25" t="s">
        <v>434</v>
      </c>
      <c r="F5" s="25" t="s">
        <v>435</v>
      </c>
      <c r="G5" s="25" t="s">
        <v>436</v>
      </c>
      <c r="H5" s="25" t="s">
        <v>437</v>
      </c>
      <c r="I5" s="25" t="s">
        <v>438</v>
      </c>
      <c r="J5" s="23" t="s">
        <v>19</v>
      </c>
      <c r="K5" s="26" t="s">
        <v>20</v>
      </c>
      <c r="N5" s="417" t="s">
        <v>444</v>
      </c>
    </row>
    <row r="6" spans="1:14" s="28" customFormat="1" ht="26.4" x14ac:dyDescent="0.25">
      <c r="A6" s="27"/>
      <c r="D6" s="29" t="s">
        <v>14</v>
      </c>
      <c r="E6" s="29" t="s">
        <v>15</v>
      </c>
      <c r="F6" s="30" t="s">
        <v>16</v>
      </c>
      <c r="G6" s="28" t="s">
        <v>66</v>
      </c>
      <c r="H6" s="29" t="s">
        <v>104</v>
      </c>
      <c r="I6" s="29" t="s">
        <v>105</v>
      </c>
      <c r="J6" s="28" t="s">
        <v>67</v>
      </c>
      <c r="K6" s="31" t="s">
        <v>68</v>
      </c>
      <c r="N6" s="418"/>
    </row>
    <row r="7" spans="1:14" x14ac:dyDescent="0.25">
      <c r="A7" s="13"/>
      <c r="K7" s="16"/>
      <c r="M7" s="18"/>
      <c r="N7" s="419"/>
    </row>
    <row r="8" spans="1:14" x14ac:dyDescent="0.25">
      <c r="A8" s="13">
        <v>1</v>
      </c>
      <c r="B8" s="14" t="s">
        <v>1</v>
      </c>
      <c r="C8" s="15">
        <v>7</v>
      </c>
      <c r="D8" s="70">
        <f>+'Estimated Proforma Net Revenue'!C9</f>
        <v>10857353000</v>
      </c>
      <c r="E8" s="32">
        <f>+'Estimated Proforma Net Revenue'!D9</f>
        <v>1210080000</v>
      </c>
      <c r="F8" s="33">
        <f>+'Sch 95A Eff 1-1-21'!G8</f>
        <v>-1.4400000000000001E-3</v>
      </c>
      <c r="G8" s="33">
        <f>ROUND(+'Peak Credit Spread'!L7,6)</f>
        <v>-1.3910000000000001E-3</v>
      </c>
      <c r="H8" s="32">
        <f>+E8+ROUND(F8,6)*D8</f>
        <v>1194445411.6800001</v>
      </c>
      <c r="I8" s="32">
        <f>+G8*$D8+$E8</f>
        <v>1194977421.977</v>
      </c>
      <c r="J8" s="32">
        <f>+I8-H8</f>
        <v>532010.29699993134</v>
      </c>
      <c r="K8" s="34">
        <f>+J8/H8</f>
        <v>4.4540360890302493E-4</v>
      </c>
      <c r="M8" s="113"/>
      <c r="N8" s="420" t="s">
        <v>442</v>
      </c>
    </row>
    <row r="9" spans="1:14" x14ac:dyDescent="0.25">
      <c r="A9" s="13">
        <f t="shared" ref="A9:A37" si="0">+A8+1</f>
        <v>2</v>
      </c>
      <c r="E9" s="32"/>
      <c r="F9" s="32"/>
      <c r="G9" s="32"/>
      <c r="H9" s="35"/>
      <c r="I9" s="32"/>
      <c r="J9" s="32"/>
      <c r="K9" s="34"/>
      <c r="M9" s="113"/>
      <c r="N9" s="419"/>
    </row>
    <row r="10" spans="1:14" x14ac:dyDescent="0.25">
      <c r="A10" s="13">
        <f t="shared" si="0"/>
        <v>3</v>
      </c>
      <c r="B10" s="36" t="s">
        <v>2</v>
      </c>
      <c r="C10" s="15" t="s">
        <v>98</v>
      </c>
      <c r="D10" s="70">
        <f>+'Estimated Proforma Net Revenue'!C12</f>
        <v>2628116000</v>
      </c>
      <c r="E10" s="32">
        <f>+'Estimated Proforma Net Revenue'!D12</f>
        <v>304249000</v>
      </c>
      <c r="F10" s="33">
        <f>+'Sch 95A Eff 1-1-21'!G10</f>
        <v>-1.451E-3</v>
      </c>
      <c r="G10" s="33">
        <f>ROUND(+'Peak Credit Spread'!L9,6)</f>
        <v>-1.423E-3</v>
      </c>
      <c r="H10" s="32">
        <f t="shared" ref="H10:H13" si="1">+E10+ROUND(F10,6)*D10</f>
        <v>300435603.68400002</v>
      </c>
      <c r="I10" s="32">
        <f t="shared" ref="I10:I13" si="2">+G10*$D10+$E10</f>
        <v>300509190.93199998</v>
      </c>
      <c r="J10" s="32">
        <f>+I10-H10</f>
        <v>73587.247999966145</v>
      </c>
      <c r="K10" s="34">
        <f>+J10/H10</f>
        <v>2.4493517778061239E-4</v>
      </c>
      <c r="M10" s="113"/>
      <c r="N10" s="420" t="s">
        <v>442</v>
      </c>
    </row>
    <row r="11" spans="1:14" x14ac:dyDescent="0.25">
      <c r="A11" s="13">
        <f t="shared" si="0"/>
        <v>4</v>
      </c>
      <c r="B11" s="37" t="s">
        <v>3</v>
      </c>
      <c r="C11" s="38" t="s">
        <v>99</v>
      </c>
      <c r="D11" s="70">
        <f>+'Estimated Proforma Net Revenue'!C13</f>
        <v>2836808000</v>
      </c>
      <c r="E11" s="32">
        <f>+'Estimated Proforma Net Revenue'!D13</f>
        <v>300376000</v>
      </c>
      <c r="F11" s="33">
        <f>+'Sch 95A Eff 1-1-21'!G11</f>
        <v>-1.498E-3</v>
      </c>
      <c r="G11" s="33">
        <f>ROUND(+'Peak Credit Spread'!L10,6)</f>
        <v>-1.446E-3</v>
      </c>
      <c r="H11" s="32">
        <f t="shared" si="1"/>
        <v>296126461.616</v>
      </c>
      <c r="I11" s="32">
        <f t="shared" si="2"/>
        <v>296273975.63200003</v>
      </c>
      <c r="J11" s="32">
        <f>+I11-H11</f>
        <v>147514.01600003242</v>
      </c>
      <c r="K11" s="34">
        <f>+J11/H11</f>
        <v>4.9814533694499835E-4</v>
      </c>
      <c r="M11" s="113"/>
      <c r="N11" s="420" t="s">
        <v>442</v>
      </c>
    </row>
    <row r="12" spans="1:14" x14ac:dyDescent="0.25">
      <c r="A12" s="13">
        <f t="shared" si="0"/>
        <v>5</v>
      </c>
      <c r="B12" s="37" t="s">
        <v>4</v>
      </c>
      <c r="C12" s="15" t="s">
        <v>101</v>
      </c>
      <c r="D12" s="70">
        <f>+'Estimated Proforma Net Revenue'!C14</f>
        <v>1789712000</v>
      </c>
      <c r="E12" s="32">
        <f>+'Estimated Proforma Net Revenue'!D14</f>
        <v>176857000</v>
      </c>
      <c r="F12" s="33">
        <f>+'Sch 95A Eff 1-1-21'!G12</f>
        <v>-1.5690000000000001E-3</v>
      </c>
      <c r="G12" s="33">
        <f>ROUND(+'Peak Credit Spread'!L11,6)</f>
        <v>-1.4189999999999999E-3</v>
      </c>
      <c r="H12" s="32">
        <f t="shared" si="1"/>
        <v>174048941.87200001</v>
      </c>
      <c r="I12" s="32">
        <f t="shared" si="2"/>
        <v>174317398.67199999</v>
      </c>
      <c r="J12" s="32">
        <f>+I12-H12</f>
        <v>268456.79999998212</v>
      </c>
      <c r="K12" s="34">
        <f>+J12/H12</f>
        <v>1.542421327659734E-3</v>
      </c>
      <c r="M12" s="113"/>
      <c r="N12" s="420" t="s">
        <v>442</v>
      </c>
    </row>
    <row r="13" spans="1:14" x14ac:dyDescent="0.25">
      <c r="A13" s="13">
        <f t="shared" si="0"/>
        <v>6</v>
      </c>
      <c r="B13" s="37" t="s">
        <v>5</v>
      </c>
      <c r="C13" s="15">
        <v>29</v>
      </c>
      <c r="D13" s="70">
        <f>+'Estimated Proforma Net Revenue'!C15</f>
        <v>14336000</v>
      </c>
      <c r="E13" s="32">
        <f>+'Estimated Proforma Net Revenue'!D15</f>
        <v>1237000</v>
      </c>
      <c r="F13" s="33">
        <f>+'Sch 95A Eff 1-1-21'!G13</f>
        <v>-1.2459999999999999E-3</v>
      </c>
      <c r="G13" s="33">
        <f>ROUND(+'Peak Credit Spread'!L12,6)</f>
        <v>-1.2149999999999999E-3</v>
      </c>
      <c r="H13" s="32">
        <f t="shared" si="1"/>
        <v>1219137.344</v>
      </c>
      <c r="I13" s="32">
        <f t="shared" si="2"/>
        <v>1219581.76</v>
      </c>
      <c r="J13" s="32">
        <f>+I13-H13</f>
        <v>444.41599999996834</v>
      </c>
      <c r="K13" s="34">
        <f>+J13/H13</f>
        <v>3.6453316944736977E-4</v>
      </c>
      <c r="M13" s="113"/>
      <c r="N13" s="420" t="s">
        <v>442</v>
      </c>
    </row>
    <row r="14" spans="1:14" x14ac:dyDescent="0.25">
      <c r="A14" s="13">
        <f t="shared" si="0"/>
        <v>7</v>
      </c>
      <c r="E14" s="32"/>
      <c r="F14" s="35"/>
      <c r="G14" s="35"/>
      <c r="H14" s="35"/>
      <c r="I14" s="32"/>
      <c r="J14" s="32"/>
      <c r="K14" s="34"/>
      <c r="M14" s="113"/>
      <c r="N14" s="419"/>
    </row>
    <row r="15" spans="1:14" x14ac:dyDescent="0.25">
      <c r="A15" s="13">
        <f t="shared" si="0"/>
        <v>8</v>
      </c>
      <c r="B15" s="14" t="s">
        <v>21</v>
      </c>
      <c r="D15" s="70">
        <f>SUM(D10:D14)</f>
        <v>7268972000</v>
      </c>
      <c r="E15" s="32">
        <f>SUM(E10:E14)</f>
        <v>782719000</v>
      </c>
      <c r="F15" s="33">
        <f>SUMPRODUCT(D10:D13,F10:F13)/D15</f>
        <v>-1.4979911167631406E-3</v>
      </c>
      <c r="G15" s="33">
        <f>SUMPRODUCT(D10:D13,G10:G13)/D15</f>
        <v>-1.4305809685331021E-3</v>
      </c>
      <c r="H15" s="32">
        <f>SUM(H10:H14)</f>
        <v>771830144.51599991</v>
      </c>
      <c r="I15" s="32">
        <f>SUM(I10:I14)</f>
        <v>772320146.99600005</v>
      </c>
      <c r="J15" s="32">
        <f>SUM(J10:J13)</f>
        <v>490002.47999998066</v>
      </c>
      <c r="K15" s="34">
        <f>+J15/H15</f>
        <v>6.3485791981764583E-4</v>
      </c>
      <c r="M15" s="113"/>
      <c r="N15" s="420"/>
    </row>
    <row r="16" spans="1:14" x14ac:dyDescent="0.25">
      <c r="A16" s="13">
        <f t="shared" si="0"/>
        <v>9</v>
      </c>
      <c r="E16" s="32"/>
      <c r="F16" s="35"/>
      <c r="G16" s="35"/>
      <c r="H16" s="35"/>
      <c r="I16" s="32"/>
      <c r="J16" s="32"/>
      <c r="K16" s="34"/>
      <c r="M16" s="114"/>
      <c r="N16" s="419"/>
    </row>
    <row r="17" spans="1:14" x14ac:dyDescent="0.25">
      <c r="A17" s="13">
        <f t="shared" si="0"/>
        <v>10</v>
      </c>
      <c r="B17" s="37" t="s">
        <v>6</v>
      </c>
      <c r="C17" s="15" t="s">
        <v>100</v>
      </c>
      <c r="D17" s="70">
        <f>+'Estimated Proforma Net Revenue'!C18</f>
        <v>1318295000</v>
      </c>
      <c r="E17" s="32">
        <f>+'Estimated Proforma Net Revenue'!D18</f>
        <v>127996000</v>
      </c>
      <c r="F17" s="33">
        <f>+'Sch 95A Eff 1-1-21'!G17</f>
        <v>-1.4350000000000001E-3</v>
      </c>
      <c r="G17" s="33">
        <f>ROUND(+'Peak Credit Spread'!L14,6)</f>
        <v>-1.3439999999999999E-3</v>
      </c>
      <c r="H17" s="32">
        <f t="shared" ref="H17:H19" si="3">+E17+ROUND(F17,6)*D17</f>
        <v>126104246.675</v>
      </c>
      <c r="I17" s="32">
        <f t="shared" ref="I17:I19" si="4">+G17*$D17+$E17</f>
        <v>126224211.52</v>
      </c>
      <c r="J17" s="32">
        <f>+I17-H17</f>
        <v>119964.84499999881</v>
      </c>
      <c r="K17" s="34">
        <f>+J17/H17</f>
        <v>9.5131486974563313E-4</v>
      </c>
      <c r="M17" s="113"/>
      <c r="N17" s="420" t="s">
        <v>443</v>
      </c>
    </row>
    <row r="18" spans="1:14" x14ac:dyDescent="0.25">
      <c r="A18" s="13">
        <f t="shared" si="0"/>
        <v>11</v>
      </c>
      <c r="B18" s="37" t="s">
        <v>7</v>
      </c>
      <c r="C18" s="15">
        <v>35</v>
      </c>
      <c r="D18" s="70">
        <f>+'Estimated Proforma Net Revenue'!C19</f>
        <v>4565000</v>
      </c>
      <c r="E18" s="32">
        <f>+'Estimated Proforma Net Revenue'!D19</f>
        <v>298000</v>
      </c>
      <c r="F18" s="33">
        <f>+'Sch 95A Eff 1-1-21'!G18</f>
        <v>-1.0690000000000001E-3</v>
      </c>
      <c r="G18" s="33">
        <f>ROUND(+'Peak Credit Spread'!L15,6)</f>
        <v>-9.7099999999999997E-4</v>
      </c>
      <c r="H18" s="32">
        <f t="shared" si="3"/>
        <v>293120.01500000001</v>
      </c>
      <c r="I18" s="32">
        <f t="shared" si="4"/>
        <v>293567.38500000001</v>
      </c>
      <c r="J18" s="32">
        <f>+I18-H18</f>
        <v>447.36999999999534</v>
      </c>
      <c r="K18" s="34">
        <f>+J18/H18</f>
        <v>1.5262349109800479E-3</v>
      </c>
      <c r="M18" s="113"/>
      <c r="N18" s="420" t="s">
        <v>443</v>
      </c>
    </row>
    <row r="19" spans="1:14" x14ac:dyDescent="0.25">
      <c r="A19" s="13">
        <f t="shared" si="0"/>
        <v>12</v>
      </c>
      <c r="B19" s="37" t="s">
        <v>8</v>
      </c>
      <c r="C19" s="15">
        <v>43</v>
      </c>
      <c r="D19" s="70">
        <f>+'Estimated Proforma Net Revenue'!C20</f>
        <v>114881000</v>
      </c>
      <c r="E19" s="32">
        <f>+'Estimated Proforma Net Revenue'!D20</f>
        <v>11661000</v>
      </c>
      <c r="F19" s="33">
        <f>+'Sch 95A Eff 1-1-21'!G19</f>
        <v>-1.1460000000000001E-3</v>
      </c>
      <c r="G19" s="33">
        <f>ROUND(+'Peak Credit Spread'!L16,6)</f>
        <v>-1.062E-3</v>
      </c>
      <c r="H19" s="32">
        <f t="shared" si="3"/>
        <v>11529346.374</v>
      </c>
      <c r="I19" s="32">
        <f t="shared" si="4"/>
        <v>11538996.378</v>
      </c>
      <c r="J19" s="32">
        <f>+I19-H19</f>
        <v>9650.0040000006557</v>
      </c>
      <c r="K19" s="34">
        <f>+J19/H19</f>
        <v>8.36994889993289E-4</v>
      </c>
      <c r="M19" s="113"/>
      <c r="N19" s="420" t="s">
        <v>443</v>
      </c>
    </row>
    <row r="20" spans="1:14" x14ac:dyDescent="0.25">
      <c r="A20" s="13">
        <f t="shared" si="0"/>
        <v>13</v>
      </c>
      <c r="B20" s="39"/>
      <c r="E20" s="32"/>
      <c r="F20" s="35"/>
      <c r="G20" s="35"/>
      <c r="H20" s="35"/>
      <c r="I20" s="32"/>
      <c r="J20" s="32"/>
      <c r="K20" s="34"/>
      <c r="M20" s="113"/>
      <c r="N20" s="419"/>
    </row>
    <row r="21" spans="1:14" x14ac:dyDescent="0.25">
      <c r="A21" s="13">
        <f t="shared" si="0"/>
        <v>14</v>
      </c>
      <c r="B21" s="39" t="s">
        <v>22</v>
      </c>
      <c r="D21" s="70">
        <f>SUM(D17:D20)</f>
        <v>1437741000</v>
      </c>
      <c r="E21" s="32">
        <f>SUM(E17:E20)</f>
        <v>139955000</v>
      </c>
      <c r="F21" s="33">
        <f>SUMPRODUCT(D17:D19,F17:F19)/D21</f>
        <v>-1.4107457017640871E-3</v>
      </c>
      <c r="G21" s="33">
        <f>SUMPRODUCT(D17:D19,G17:G19)/D21</f>
        <v>-1.3202828026744734E-3</v>
      </c>
      <c r="H21" s="32">
        <f>SUM(H17:H20)</f>
        <v>137926713.06400001</v>
      </c>
      <c r="I21" s="32">
        <f>SUM(I17:I20)</f>
        <v>138056775.28299999</v>
      </c>
      <c r="J21" s="32">
        <f>SUM(J17:J20)</f>
        <v>130062.21899999946</v>
      </c>
      <c r="K21" s="34">
        <f>+J21/H21</f>
        <v>9.4298063160287661E-4</v>
      </c>
      <c r="M21" s="114"/>
      <c r="N21" s="419"/>
    </row>
    <row r="22" spans="1:14" x14ac:dyDescent="0.25">
      <c r="A22" s="13">
        <f t="shared" si="0"/>
        <v>15</v>
      </c>
      <c r="B22" s="39"/>
      <c r="E22" s="32"/>
      <c r="F22" s="35"/>
      <c r="G22" s="35"/>
      <c r="H22" s="35"/>
      <c r="I22" s="32"/>
      <c r="J22" s="32"/>
      <c r="K22" s="34"/>
      <c r="M22" s="114"/>
      <c r="N22" s="419"/>
    </row>
    <row r="23" spans="1:14" x14ac:dyDescent="0.25">
      <c r="A23" s="13">
        <f t="shared" si="0"/>
        <v>16</v>
      </c>
      <c r="B23" s="37" t="s">
        <v>23</v>
      </c>
      <c r="C23" s="15">
        <v>46</v>
      </c>
      <c r="D23" s="70">
        <f>+'Estimated Proforma Net Revenue'!C23</f>
        <v>78958000</v>
      </c>
      <c r="E23" s="32">
        <f>+'Estimated Proforma Net Revenue'!D23</f>
        <v>6036000</v>
      </c>
      <c r="F23" s="33">
        <f>'Sch 95A Eff 1-1-21'!G23</f>
        <v>-1.225E-3</v>
      </c>
      <c r="G23" s="33">
        <f>ROUND(+'Peak Credit Spread'!L18,6)</f>
        <v>-9.6900000000000003E-4</v>
      </c>
      <c r="H23" s="32">
        <f t="shared" ref="H23:H24" si="5">+E23+ROUND(F23,6)*D23</f>
        <v>5939276.4500000002</v>
      </c>
      <c r="I23" s="32">
        <f t="shared" ref="I23:I24" si="6">+G23*$D23+$E23</f>
        <v>5959489.6979999999</v>
      </c>
      <c r="J23" s="32">
        <f>+I23-H23</f>
        <v>20213.247999999672</v>
      </c>
      <c r="K23" s="34">
        <f>+J23/H23</f>
        <v>3.403318261098904E-3</v>
      </c>
      <c r="M23" s="113"/>
      <c r="N23" s="420" t="s">
        <v>443</v>
      </c>
    </row>
    <row r="24" spans="1:14" x14ac:dyDescent="0.25">
      <c r="A24" s="13">
        <f t="shared" si="0"/>
        <v>17</v>
      </c>
      <c r="B24" s="36" t="s">
        <v>24</v>
      </c>
      <c r="C24" s="15">
        <v>49</v>
      </c>
      <c r="D24" s="70">
        <f>+'Estimated Proforma Net Revenue'!C24</f>
        <v>504163000</v>
      </c>
      <c r="E24" s="32">
        <f>+'Estimated Proforma Net Revenue'!D24</f>
        <v>37909000</v>
      </c>
      <c r="F24" s="33">
        <f>'Sch 95A Eff 1-1-21'!G24</f>
        <v>-1.3259999999999999E-3</v>
      </c>
      <c r="G24" s="33">
        <f>ROUND(+'Peak Credit Spread'!L19,6)</f>
        <v>-1.3010000000000001E-3</v>
      </c>
      <c r="H24" s="32">
        <f t="shared" si="5"/>
        <v>37240479.862000003</v>
      </c>
      <c r="I24" s="32">
        <f t="shared" si="6"/>
        <v>37253083.936999999</v>
      </c>
      <c r="J24" s="32">
        <f>+I24-H24</f>
        <v>12604.07499999553</v>
      </c>
      <c r="K24" s="34">
        <f>+J24/H24</f>
        <v>3.3845092884682895E-4</v>
      </c>
      <c r="M24" s="113"/>
      <c r="N24" s="420" t="s">
        <v>443</v>
      </c>
    </row>
    <row r="25" spans="1:14" x14ac:dyDescent="0.25">
      <c r="A25" s="13">
        <f t="shared" si="0"/>
        <v>18</v>
      </c>
      <c r="E25" s="32"/>
      <c r="F25" s="35"/>
      <c r="G25" s="35"/>
      <c r="H25" s="35"/>
      <c r="I25" s="32"/>
      <c r="J25" s="32"/>
      <c r="K25" s="34"/>
      <c r="M25" s="113"/>
      <c r="N25" s="419"/>
    </row>
    <row r="26" spans="1:14" x14ac:dyDescent="0.25">
      <c r="A26" s="13">
        <f t="shared" si="0"/>
        <v>19</v>
      </c>
      <c r="B26" s="40" t="s">
        <v>25</v>
      </c>
      <c r="D26" s="70">
        <f>SUM(D23:D25)</f>
        <v>583121000</v>
      </c>
      <c r="E26" s="32">
        <f>SUM(E23:E25)</f>
        <v>43945000</v>
      </c>
      <c r="F26" s="33">
        <f>SUMPRODUCT(D23:D24,F23:F24)/D26</f>
        <v>-1.3123240082247079E-3</v>
      </c>
      <c r="G26" s="33">
        <f>SUMPRODUCT(D23:D24,G23:G24)/D26</f>
        <v>-1.2560452547584464E-3</v>
      </c>
      <c r="H26" s="70">
        <f>SUM(H23:H25)</f>
        <v>43179756.312000006</v>
      </c>
      <c r="I26" s="70">
        <f>SUM(I23:I25)</f>
        <v>43212573.634999998</v>
      </c>
      <c r="J26" s="32">
        <f>SUM(J23:J25)</f>
        <v>32817.322999995202</v>
      </c>
      <c r="K26" s="34">
        <f>+J26/H26</f>
        <v>7.6001640127077331E-4</v>
      </c>
      <c r="M26" s="113"/>
      <c r="N26" s="419"/>
    </row>
    <row r="27" spans="1:14" x14ac:dyDescent="0.25">
      <c r="A27" s="13">
        <f t="shared" si="0"/>
        <v>20</v>
      </c>
      <c r="E27" s="32"/>
      <c r="F27" s="35"/>
      <c r="G27" s="35"/>
      <c r="H27" s="35"/>
      <c r="I27" s="32"/>
      <c r="J27" s="32"/>
      <c r="K27" s="34"/>
      <c r="M27" s="114"/>
      <c r="N27" s="419"/>
    </row>
    <row r="28" spans="1:14" x14ac:dyDescent="0.25">
      <c r="A28" s="13">
        <f t="shared" si="0"/>
        <v>21</v>
      </c>
      <c r="B28" s="14" t="s">
        <v>9</v>
      </c>
      <c r="C28" s="15" t="s">
        <v>63</v>
      </c>
      <c r="D28" s="70">
        <f>+'Estimated Proforma Net Revenue'!C27</f>
        <v>64560000</v>
      </c>
      <c r="E28" s="32">
        <f>+'Estimated Proforma Net Revenue'!D27</f>
        <v>16455000</v>
      </c>
      <c r="F28" s="33">
        <f>+'Sch 95A Eff 1-1-21'!G28</f>
        <v>-1.438E-3</v>
      </c>
      <c r="G28" s="33">
        <f>ROUND(+'Peak Credit Spread'!L21,6)</f>
        <v>-1.3569999999999999E-3</v>
      </c>
      <c r="H28" s="32">
        <f>+E28+ROUND(F28,6)*D28</f>
        <v>16362162.720000001</v>
      </c>
      <c r="I28" s="32">
        <f>+G28*$D28+$E28</f>
        <v>16367392.08</v>
      </c>
      <c r="J28" s="32">
        <f>+I28-H28</f>
        <v>5229.359999999404</v>
      </c>
      <c r="K28" s="34">
        <f>+J28/H28</f>
        <v>3.1960078196798447E-4</v>
      </c>
      <c r="M28" s="113"/>
      <c r="N28" s="420" t="s">
        <v>448</v>
      </c>
    </row>
    <row r="29" spans="1:14" x14ac:dyDescent="0.25">
      <c r="A29" s="13">
        <f t="shared" si="0"/>
        <v>22</v>
      </c>
      <c r="E29" s="32"/>
      <c r="F29" s="35"/>
      <c r="G29" s="35"/>
      <c r="I29" s="32"/>
      <c r="J29" s="32"/>
      <c r="K29" s="34"/>
      <c r="M29" s="113"/>
      <c r="N29" s="420" t="s">
        <v>448</v>
      </c>
    </row>
    <row r="30" spans="1:14" ht="13.8" thickBot="1" x14ac:dyDescent="0.3">
      <c r="A30" s="13">
        <f t="shared" si="0"/>
        <v>23</v>
      </c>
      <c r="B30" s="41" t="s">
        <v>26</v>
      </c>
      <c r="C30" s="38" t="s">
        <v>27</v>
      </c>
      <c r="D30" s="70">
        <f>+'Estimated Proforma Net Revenue'!C33</f>
        <v>7520000</v>
      </c>
      <c r="E30" s="32">
        <f>+'Estimated Proforma Net Revenue'!D33</f>
        <v>696000</v>
      </c>
      <c r="F30" s="33">
        <f>+'Sch 95A Eff 1-1-21'!G30</f>
        <v>-1.3699999999999999E-3</v>
      </c>
      <c r="G30" s="33">
        <f>ROUND(+'Peak Credit Spread'!L23,6)</f>
        <v>-1.2949999999999999E-3</v>
      </c>
      <c r="H30" s="32">
        <f>+E30+ROUND(F30,6)*D30</f>
        <v>685697.6</v>
      </c>
      <c r="I30" s="32">
        <f>+G30*$D30+$E30</f>
        <v>686261.6</v>
      </c>
      <c r="J30" s="32">
        <f>+I30-H30</f>
        <v>564</v>
      </c>
      <c r="K30" s="34">
        <f>+J30/H30</f>
        <v>8.2252001465368992E-4</v>
      </c>
      <c r="M30" s="18"/>
      <c r="N30" s="421"/>
    </row>
    <row r="31" spans="1:14" x14ac:dyDescent="0.25">
      <c r="A31" s="13">
        <f t="shared" si="0"/>
        <v>24</v>
      </c>
      <c r="B31" s="41"/>
      <c r="C31" s="38"/>
      <c r="E31" s="32"/>
      <c r="F31" s="35"/>
      <c r="G31" s="35"/>
      <c r="H31" s="35"/>
      <c r="I31" s="32"/>
      <c r="J31" s="32"/>
      <c r="K31" s="34"/>
      <c r="M31" s="18"/>
      <c r="N31" s="18"/>
    </row>
    <row r="32" spans="1:14" x14ac:dyDescent="0.25">
      <c r="A32" s="13">
        <f t="shared" si="0"/>
        <v>25</v>
      </c>
      <c r="B32" s="37" t="s">
        <v>10</v>
      </c>
      <c r="D32" s="70">
        <f>SUM(D28,D26,,D21,D15,D8,D30)</f>
        <v>20219267000</v>
      </c>
      <c r="E32" s="70">
        <f>SUM(E28,E26,,E21,E15,E8,E30)</f>
        <v>2193850000</v>
      </c>
      <c r="F32" s="33">
        <f>(F8*D8+F15*D15+F21*D21+F26*D26+F28*D28+F30*D30)/D32</f>
        <v>-1.4550534452114411E-3</v>
      </c>
      <c r="G32" s="33">
        <f>+'Peak Credit Spread'!L25</f>
        <v>-1.3960679818882181E-3</v>
      </c>
      <c r="H32" s="32">
        <f>SUM(H28,H26,H21,H15,H8,H30)</f>
        <v>2164429885.8919997</v>
      </c>
      <c r="I32" s="32">
        <f>SUM(I28,I26,I21,I15,I8,I30)</f>
        <v>2165620571.5710001</v>
      </c>
      <c r="J32" s="32">
        <f>SUM(J28,J26,J21,J15,J8,J30)</f>
        <v>1190685.6789999059</v>
      </c>
      <c r="K32" s="34">
        <f>+J32/H32</f>
        <v>5.5011515353808904E-4</v>
      </c>
      <c r="M32" s="18"/>
      <c r="N32" s="18"/>
    </row>
    <row r="33" spans="1:14" x14ac:dyDescent="0.25">
      <c r="A33" s="13">
        <f t="shared" si="0"/>
        <v>26</v>
      </c>
      <c r="B33" s="40"/>
      <c r="E33" s="32"/>
      <c r="F33" s="35"/>
      <c r="G33" s="35"/>
      <c r="H33" s="35"/>
      <c r="I33" s="32"/>
      <c r="J33" s="32"/>
      <c r="K33" s="34"/>
      <c r="M33" s="18"/>
      <c r="N33" s="18"/>
    </row>
    <row r="34" spans="1:14" x14ac:dyDescent="0.25">
      <c r="A34" s="13">
        <f t="shared" si="0"/>
        <v>27</v>
      </c>
      <c r="B34" s="40" t="s">
        <v>28</v>
      </c>
      <c r="E34" s="32"/>
      <c r="F34" s="32"/>
      <c r="G34" s="35"/>
      <c r="H34" s="35"/>
      <c r="I34" s="32"/>
      <c r="J34" s="32"/>
      <c r="K34" s="34"/>
      <c r="M34" s="18"/>
      <c r="N34" s="18"/>
    </row>
    <row r="35" spans="1:14" x14ac:dyDescent="0.25">
      <c r="A35" s="13">
        <f t="shared" si="0"/>
        <v>28</v>
      </c>
      <c r="B35" s="37" t="s">
        <v>343</v>
      </c>
      <c r="C35" s="38" t="s">
        <v>344</v>
      </c>
      <c r="D35" s="70">
        <f>+'Estimated Proforma Net Revenue'!C29</f>
        <v>2190147000</v>
      </c>
      <c r="E35" s="32">
        <f>+'Estimated Proforma Net Revenue'!D29</f>
        <v>16914000</v>
      </c>
      <c r="F35" s="32"/>
      <c r="G35" s="35"/>
      <c r="H35" s="32">
        <f>+E35+ROUND(F35,6)*D35</f>
        <v>16914000</v>
      </c>
      <c r="I35" s="32">
        <f>+G35*$D35+$E35</f>
        <v>16914000</v>
      </c>
      <c r="J35" s="32">
        <f>+I35-H35</f>
        <v>0</v>
      </c>
      <c r="K35" s="34"/>
      <c r="M35" s="18"/>
      <c r="N35" s="18"/>
    </row>
    <row r="36" spans="1:14" x14ac:dyDescent="0.25">
      <c r="A36" s="13">
        <f t="shared" si="0"/>
        <v>29</v>
      </c>
      <c r="B36" s="40"/>
      <c r="E36" s="32"/>
      <c r="F36" s="32"/>
      <c r="G36" s="35"/>
      <c r="H36" s="35"/>
      <c r="I36" s="32"/>
      <c r="J36" s="32"/>
      <c r="K36" s="34"/>
      <c r="M36" s="18"/>
    </row>
    <row r="37" spans="1:14" x14ac:dyDescent="0.25">
      <c r="A37" s="13">
        <f t="shared" si="0"/>
        <v>30</v>
      </c>
      <c r="B37" s="40" t="s">
        <v>12</v>
      </c>
      <c r="D37" s="70">
        <f>SUM(D32:D35)</f>
        <v>22409414000</v>
      </c>
      <c r="E37" s="32">
        <f>SUM(E32:E35)</f>
        <v>2210764000</v>
      </c>
      <c r="F37" s="32"/>
      <c r="G37" s="35"/>
      <c r="H37" s="32">
        <f>SUM(H32:H35)</f>
        <v>2181343885.8919997</v>
      </c>
      <c r="I37" s="32">
        <f>SUM(I32:I35)</f>
        <v>2182534571.5710001</v>
      </c>
      <c r="J37" s="32">
        <f>SUM(J32:J35)</f>
        <v>1190685.6789999059</v>
      </c>
      <c r="K37" s="34"/>
      <c r="M37" s="18"/>
    </row>
    <row r="38" spans="1:14" ht="13.8" thickBot="1" x14ac:dyDescent="0.3">
      <c r="A38" s="42"/>
      <c r="B38" s="43"/>
      <c r="C38" s="44"/>
      <c r="D38" s="45"/>
      <c r="E38" s="46"/>
      <c r="F38" s="46"/>
      <c r="G38" s="43"/>
      <c r="H38" s="43"/>
      <c r="I38" s="45"/>
      <c r="J38" s="43"/>
      <c r="K38" s="47"/>
      <c r="M38" s="115"/>
      <c r="N38" s="115"/>
    </row>
    <row r="39" spans="1:14" ht="13.8" thickBot="1" x14ac:dyDescent="0.3">
      <c r="J39" s="32"/>
    </row>
    <row r="40" spans="1:14" ht="42.6" customHeight="1" thickBot="1" x14ac:dyDescent="0.3">
      <c r="A40" s="427" t="s">
        <v>440</v>
      </c>
      <c r="B40" s="428"/>
      <c r="C40" s="428"/>
      <c r="D40" s="428"/>
      <c r="E40" s="428"/>
      <c r="F40" s="428"/>
      <c r="G40" s="428"/>
      <c r="H40" s="428"/>
      <c r="I40" s="428"/>
      <c r="J40" s="428"/>
      <c r="K40" s="429"/>
    </row>
    <row r="41" spans="1:14" x14ac:dyDescent="0.25">
      <c r="E41" s="32"/>
    </row>
    <row r="42" spans="1:14" x14ac:dyDescent="0.25">
      <c r="E42" s="32"/>
    </row>
    <row r="48" spans="1:14" x14ac:dyDescent="0.25">
      <c r="A48" s="112"/>
      <c r="C48" s="112"/>
    </row>
    <row r="49" spans="1:3" x14ac:dyDescent="0.25">
      <c r="A49" s="112"/>
      <c r="C49" s="112"/>
    </row>
    <row r="50" spans="1:3" x14ac:dyDescent="0.25">
      <c r="A50" s="112"/>
      <c r="C50" s="112"/>
    </row>
    <row r="51" spans="1:3" x14ac:dyDescent="0.25">
      <c r="A51" s="112"/>
      <c r="C51" s="112"/>
    </row>
  </sheetData>
  <mergeCells count="1">
    <mergeCell ref="A40:K40"/>
  </mergeCells>
  <phoneticPr fontId="4" type="noConversion"/>
  <printOptions horizontalCentered="1"/>
  <pageMargins left="0.7" right="0.7" top="0.75" bottom="0.75" header="0.3" footer="0.3"/>
  <pageSetup scale="71" orientation="landscape" r:id="rId1"/>
  <headerFooter alignWithMargins="0">
    <oddFooter>&amp;L&amp;F
&amp;A&amp;RSchedule 95A Filing Eff 1-1-21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6"/>
  <sheetViews>
    <sheetView zoomScale="80" zoomScaleNormal="80" workbookViewId="0">
      <selection activeCell="F19" sqref="F19"/>
    </sheetView>
  </sheetViews>
  <sheetFormatPr defaultColWidth="9.109375" defaultRowHeight="13.2" x14ac:dyDescent="0.25"/>
  <cols>
    <col min="1" max="1" width="8.33203125" style="15" bestFit="1" customWidth="1"/>
    <col min="2" max="2" width="29" style="14" bestFit="1" customWidth="1"/>
    <col min="3" max="3" width="9.44140625" style="14" bestFit="1" customWidth="1"/>
    <col min="4" max="4" width="15.6640625" style="70" bestFit="1" customWidth="1"/>
    <col min="5" max="5" width="10.33203125" style="14" bestFit="1" customWidth="1"/>
    <col min="6" max="6" width="11.6640625" style="70" bestFit="1" customWidth="1"/>
    <col min="7" max="8" width="10.33203125" style="14" bestFit="1" customWidth="1"/>
    <col min="9" max="9" width="14.6640625" style="14" bestFit="1" customWidth="1"/>
    <col min="10" max="10" width="14.33203125" style="14" bestFit="1" customWidth="1"/>
    <col min="11" max="11" width="15.6640625" style="14" bestFit="1" customWidth="1"/>
    <col min="12" max="12" width="16.6640625" style="14" bestFit="1" customWidth="1"/>
    <col min="13" max="13" width="10.6640625" style="14" bestFit="1" customWidth="1"/>
    <col min="14" max="14" width="13.88671875" style="14" customWidth="1"/>
    <col min="15" max="15" width="8.44140625" style="14" customWidth="1"/>
    <col min="16" max="16384" width="9.109375" style="14"/>
  </cols>
  <sheetData>
    <row r="1" spans="1:19" x14ac:dyDescent="0.25">
      <c r="A1" s="430" t="s">
        <v>13</v>
      </c>
      <c r="B1" s="431"/>
      <c r="C1" s="431"/>
      <c r="D1" s="431"/>
      <c r="E1" s="431"/>
      <c r="F1" s="431"/>
      <c r="G1" s="431"/>
      <c r="H1" s="431"/>
      <c r="I1" s="431"/>
      <c r="J1" s="431"/>
      <c r="K1" s="431"/>
      <c r="L1" s="432"/>
    </row>
    <row r="2" spans="1:19" x14ac:dyDescent="0.25">
      <c r="A2" s="433" t="s">
        <v>345</v>
      </c>
      <c r="B2" s="434"/>
      <c r="C2" s="434"/>
      <c r="D2" s="434"/>
      <c r="E2" s="434"/>
      <c r="F2" s="434"/>
      <c r="G2" s="434"/>
      <c r="H2" s="434"/>
      <c r="I2" s="434"/>
      <c r="J2" s="434"/>
      <c r="K2" s="434"/>
      <c r="L2" s="435"/>
    </row>
    <row r="3" spans="1:19" x14ac:dyDescent="0.25">
      <c r="A3" s="13"/>
      <c r="L3" s="16"/>
    </row>
    <row r="4" spans="1:19" ht="12.75" customHeight="1" x14ac:dyDescent="0.25">
      <c r="A4" s="13"/>
      <c r="L4" s="16"/>
    </row>
    <row r="5" spans="1:19" s="18" customFormat="1" ht="93" thickBot="1" x14ac:dyDescent="0.3">
      <c r="A5" s="22" t="s">
        <v>0</v>
      </c>
      <c r="B5" s="23" t="s">
        <v>64</v>
      </c>
      <c r="C5" s="23" t="s">
        <v>131</v>
      </c>
      <c r="D5" s="25" t="s">
        <v>384</v>
      </c>
      <c r="E5" s="25" t="s">
        <v>385</v>
      </c>
      <c r="F5" s="25" t="s">
        <v>386</v>
      </c>
      <c r="G5" s="25" t="s">
        <v>387</v>
      </c>
      <c r="H5" s="24" t="s">
        <v>441</v>
      </c>
      <c r="I5" s="24" t="s">
        <v>432</v>
      </c>
      <c r="J5" s="24" t="s">
        <v>432</v>
      </c>
      <c r="K5" s="24" t="str">
        <f>+'Rate Impacts'!D5</f>
        <v>kWh
Source: F2021 January 2022 to December 2022</v>
      </c>
      <c r="L5" s="94" t="s">
        <v>346</v>
      </c>
    </row>
    <row r="6" spans="1:19" s="18" customFormat="1" ht="39" customHeight="1" x14ac:dyDescent="0.25">
      <c r="A6" s="17"/>
      <c r="D6" s="84" t="s">
        <v>14</v>
      </c>
      <c r="E6" s="85" t="s">
        <v>136</v>
      </c>
      <c r="F6" s="84" t="s">
        <v>16</v>
      </c>
      <c r="G6" s="85" t="s">
        <v>137</v>
      </c>
      <c r="H6" s="107" t="s">
        <v>106</v>
      </c>
      <c r="I6" s="107" t="s">
        <v>107</v>
      </c>
      <c r="J6" s="108" t="s">
        <v>108</v>
      </c>
      <c r="K6" s="107" t="s">
        <v>139</v>
      </c>
      <c r="L6" s="109" t="s">
        <v>353</v>
      </c>
      <c r="N6" s="14"/>
      <c r="O6" s="14"/>
      <c r="P6" s="14"/>
      <c r="Q6" s="14"/>
      <c r="R6" s="14"/>
      <c r="S6" s="14"/>
    </row>
    <row r="7" spans="1:19" x14ac:dyDescent="0.25">
      <c r="A7" s="13">
        <v>1</v>
      </c>
      <c r="B7" s="14" t="s">
        <v>1</v>
      </c>
      <c r="C7" s="15">
        <v>7</v>
      </c>
      <c r="D7" s="70">
        <f>+'UE-190529 LR Data Summary'!D9</f>
        <v>11476152247.161776</v>
      </c>
      <c r="E7" s="95">
        <f>+D7/D$25*0.75</f>
        <v>0.39072264776300736</v>
      </c>
      <c r="F7" s="70">
        <f>+'UE-190529 LR Data Summary'!F9</f>
        <v>2236474.2253660602</v>
      </c>
      <c r="G7" s="95">
        <f>+F7/F$25*0.25</f>
        <v>0.14418129406223315</v>
      </c>
      <c r="H7" s="95">
        <f>+G7+E7</f>
        <v>0.53490394182524048</v>
      </c>
      <c r="I7" s="95"/>
      <c r="J7" s="32">
        <f>+H7*($I$25)</f>
        <v>-15098985.653263889</v>
      </c>
      <c r="K7" s="70">
        <f>+'Estimated Proforma Net Revenue'!C9</f>
        <v>10857353000</v>
      </c>
      <c r="L7" s="96">
        <f>(+J7/K7)</f>
        <v>-1.3906691302441663E-3</v>
      </c>
    </row>
    <row r="8" spans="1:19" x14ac:dyDescent="0.25">
      <c r="A8" s="13">
        <f t="shared" ref="A8:A31" si="0">+A7+1</f>
        <v>2</v>
      </c>
      <c r="C8" s="97"/>
      <c r="E8" s="95"/>
      <c r="G8" s="95"/>
      <c r="H8" s="95"/>
      <c r="I8" s="95"/>
      <c r="J8" s="32"/>
      <c r="K8" s="70"/>
      <c r="L8" s="98"/>
    </row>
    <row r="9" spans="1:19" x14ac:dyDescent="0.25">
      <c r="A9" s="13">
        <f t="shared" si="0"/>
        <v>3</v>
      </c>
      <c r="B9" s="39" t="s">
        <v>2</v>
      </c>
      <c r="C9" s="38" t="s">
        <v>132</v>
      </c>
      <c r="D9" s="70">
        <f>+'UE-190529 LR Data Summary'!D10</f>
        <v>2915955626.4103169</v>
      </c>
      <c r="E9" s="95">
        <f>+D9/D$25*0.75</f>
        <v>9.927804011072186E-2</v>
      </c>
      <c r="F9" s="70">
        <f>'UE-190529 LR Data Summary'!F10</f>
        <v>515625.82524854271</v>
      </c>
      <c r="G9" s="95">
        <f>+F9/F$25*0.25</f>
        <v>3.3241428804784645E-2</v>
      </c>
      <c r="H9" s="95">
        <f>+G9+E9</f>
        <v>0.13251946891550651</v>
      </c>
      <c r="I9" s="95"/>
      <c r="J9" s="32">
        <f>+H9*($I$25)</f>
        <v>-3740689.502316481</v>
      </c>
      <c r="K9" s="70">
        <f>SUM('Estimated Proforma Net Revenue'!C12:C12)</f>
        <v>2628116000</v>
      </c>
      <c r="L9" s="96">
        <f t="shared" ref="L9:L12" si="1">(+J9/K9)</f>
        <v>-1.423335005881202E-3</v>
      </c>
    </row>
    <row r="10" spans="1:19" x14ac:dyDescent="0.25">
      <c r="A10" s="13">
        <f t="shared" si="0"/>
        <v>4</v>
      </c>
      <c r="B10" s="14" t="s">
        <v>3</v>
      </c>
      <c r="C10" s="38" t="s">
        <v>133</v>
      </c>
      <c r="D10" s="70">
        <f>+'UE-190529 LR Data - Energy'!J24</f>
        <v>3225522141.4879136</v>
      </c>
      <c r="E10" s="95">
        <f>+D10/D$25*0.75</f>
        <v>0.10981769188815443</v>
      </c>
      <c r="F10" s="70">
        <f>'UE-190529 LR Data - Dem 4CP'!F18</f>
        <v>551432.84077501134</v>
      </c>
      <c r="G10" s="95">
        <f>+F10/F$25*0.25</f>
        <v>3.5549839863833498E-2</v>
      </c>
      <c r="H10" s="95">
        <f>+G10+E10</f>
        <v>0.14536753175198794</v>
      </c>
      <c r="I10" s="95"/>
      <c r="J10" s="32">
        <f>+H10*($I$25)</f>
        <v>-4103357.8269848488</v>
      </c>
      <c r="K10" s="70">
        <f>SUM('Estimated Proforma Net Revenue'!C13:C13)</f>
        <v>2836808000</v>
      </c>
      <c r="L10" s="96">
        <f t="shared" si="1"/>
        <v>-1.4464700561281725E-3</v>
      </c>
    </row>
    <row r="11" spans="1:19" x14ac:dyDescent="0.25">
      <c r="A11" s="13">
        <f t="shared" si="0"/>
        <v>5</v>
      </c>
      <c r="B11" s="14" t="s">
        <v>4</v>
      </c>
      <c r="C11" s="38" t="s">
        <v>134</v>
      </c>
      <c r="D11" s="70">
        <f>+'UE-190529 LR Data Summary'!D12</f>
        <v>2092770306.5275679</v>
      </c>
      <c r="E11" s="95">
        <f>+D11/D$25*0.75</f>
        <v>7.1251473291362041E-2</v>
      </c>
      <c r="F11" s="70">
        <f>'UE-190529 LR Data Summary'!F12</f>
        <v>289974.91765494185</v>
      </c>
      <c r="G11" s="95">
        <f>+F11/F$25*0.25</f>
        <v>1.8694138478719036E-2</v>
      </c>
      <c r="H11" s="95">
        <f>+G11+E11</f>
        <v>8.9945611770081077E-2</v>
      </c>
      <c r="I11" s="95"/>
      <c r="J11" s="32">
        <f>+H11*($I$25)</f>
        <v>-2538937.172637627</v>
      </c>
      <c r="K11" s="70">
        <f>SUM('Estimated Proforma Net Revenue'!C14:C14)</f>
        <v>1789712000</v>
      </c>
      <c r="L11" s="96">
        <f t="shared" si="1"/>
        <v>-1.418628903777606E-3</v>
      </c>
    </row>
    <row r="12" spans="1:19" x14ac:dyDescent="0.25">
      <c r="A12" s="13">
        <f t="shared" si="0"/>
        <v>6</v>
      </c>
      <c r="B12" s="14" t="s">
        <v>5</v>
      </c>
      <c r="C12" s="38">
        <v>29</v>
      </c>
      <c r="D12" s="70">
        <f>+'UE-190529 LR Data - Energy'!J26</f>
        <v>17243818.472518876</v>
      </c>
      <c r="E12" s="95">
        <f>+D12/D$25*0.75</f>
        <v>5.8709141060702894E-4</v>
      </c>
      <c r="F12" s="70">
        <f>'UE-190529 LR Data - Dem 4CP'!H18</f>
        <v>461.07800540214549</v>
      </c>
      <c r="G12" s="95">
        <f>+F12/F$25*0.25</f>
        <v>2.9724833279325449E-5</v>
      </c>
      <c r="H12" s="95">
        <f>+G12+E12</f>
        <v>6.1681624388635443E-4</v>
      </c>
      <c r="I12" s="95"/>
      <c r="J12" s="32">
        <f>+H12*($I$25)</f>
        <v>-17411.162806840843</v>
      </c>
      <c r="K12" s="70">
        <f>+'Estimated Proforma Net Revenue'!C15</f>
        <v>14336000</v>
      </c>
      <c r="L12" s="96">
        <f t="shared" si="1"/>
        <v>-1.2145063341825364E-3</v>
      </c>
    </row>
    <row r="13" spans="1:19" x14ac:dyDescent="0.25">
      <c r="A13" s="13">
        <f t="shared" si="0"/>
        <v>7</v>
      </c>
      <c r="C13" s="38"/>
      <c r="E13" s="95"/>
      <c r="G13" s="95"/>
      <c r="H13" s="95"/>
      <c r="I13" s="95"/>
      <c r="J13" s="32"/>
      <c r="K13" s="70"/>
      <c r="L13" s="98"/>
    </row>
    <row r="14" spans="1:19" x14ac:dyDescent="0.25">
      <c r="A14" s="13">
        <f t="shared" si="0"/>
        <v>8</v>
      </c>
      <c r="B14" s="14" t="s">
        <v>6</v>
      </c>
      <c r="C14" s="38" t="s">
        <v>135</v>
      </c>
      <c r="D14" s="70">
        <f>+'UE-190529 LR Data Summary'!D13</f>
        <v>1456029850.0547175</v>
      </c>
      <c r="E14" s="95">
        <f>+D14/D$25*0.75</f>
        <v>4.957269875676773E-2</v>
      </c>
      <c r="F14" s="70">
        <f>'UE-190529 LR Data Summary'!F13</f>
        <v>204844.84270926949</v>
      </c>
      <c r="G14" s="95">
        <f>+F14/F$25*0.25</f>
        <v>1.3205962388841259E-2</v>
      </c>
      <c r="H14" s="95">
        <f>+G14+E14</f>
        <v>6.2778661145608983E-2</v>
      </c>
      <c r="I14" s="95"/>
      <c r="J14" s="32">
        <f>+H14*($I$25)</f>
        <v>-1772082.8542302153</v>
      </c>
      <c r="K14" s="70">
        <f>SUM('Estimated Proforma Net Revenue'!C18:C18)</f>
        <v>1318295000</v>
      </c>
      <c r="L14" s="96">
        <f t="shared" ref="L14:L16" si="2">(+J14/K14)</f>
        <v>-1.3442232992086107E-3</v>
      </c>
    </row>
    <row r="15" spans="1:19" x14ac:dyDescent="0.25">
      <c r="A15" s="13">
        <f t="shared" si="0"/>
        <v>9</v>
      </c>
      <c r="B15" s="14" t="s">
        <v>7</v>
      </c>
      <c r="C15" s="38">
        <v>35</v>
      </c>
      <c r="D15" s="70">
        <f>+'UE-190529 LR Data Summary'!D14</f>
        <v>4597572.0317007378</v>
      </c>
      <c r="E15" s="95">
        <f>+D15/D$25*0.75</f>
        <v>1.5653116818413872E-4</v>
      </c>
      <c r="F15" s="70">
        <f>'UE-190529 LR Data Summary'!F14</f>
        <v>7.0004300675974864</v>
      </c>
      <c r="G15" s="95">
        <f>+F15/F$25*0.25</f>
        <v>4.5130458231557189E-7</v>
      </c>
      <c r="H15" s="95">
        <f>+G15+E15</f>
        <v>1.5698247276645428E-4</v>
      </c>
      <c r="I15" s="95"/>
      <c r="J15" s="32">
        <f>+H15*($I$25)</f>
        <v>-4431.2182408425397</v>
      </c>
      <c r="K15" s="70">
        <f>+'Estimated Proforma Net Revenue'!C19</f>
        <v>4565000</v>
      </c>
      <c r="L15" s="96">
        <f t="shared" si="2"/>
        <v>-9.7069402866211167E-4</v>
      </c>
    </row>
    <row r="16" spans="1:19" x14ac:dyDescent="0.25">
      <c r="A16" s="13">
        <f t="shared" si="0"/>
        <v>10</v>
      </c>
      <c r="B16" s="14" t="s">
        <v>8</v>
      </c>
      <c r="C16" s="38">
        <v>43</v>
      </c>
      <c r="D16" s="70">
        <f>+'UE-190529 LR Data Summary'!D15</f>
        <v>126890757.18193617</v>
      </c>
      <c r="E16" s="95">
        <f>+D16/D$25*0.75</f>
        <v>4.3201842878165531E-3</v>
      </c>
      <c r="F16" s="70">
        <f>'UE-190529 LR Data Summary'!F15</f>
        <v>0</v>
      </c>
      <c r="G16" s="95">
        <f>+F16/F$25*0.25</f>
        <v>0</v>
      </c>
      <c r="H16" s="95">
        <f>+G16+E16</f>
        <v>4.3201842878165531E-3</v>
      </c>
      <c r="I16" s="95"/>
      <c r="J16" s="32">
        <f>+H16*($I$25)</f>
        <v>-121947.87789114809</v>
      </c>
      <c r="K16" s="70">
        <f>+'Estimated Proforma Net Revenue'!C20</f>
        <v>114881000</v>
      </c>
      <c r="L16" s="96">
        <f t="shared" si="2"/>
        <v>-1.0615147665074998E-3</v>
      </c>
    </row>
    <row r="17" spans="1:12" x14ac:dyDescent="0.25">
      <c r="A17" s="13">
        <f t="shared" si="0"/>
        <v>11</v>
      </c>
      <c r="C17" s="38"/>
      <c r="E17" s="95"/>
      <c r="G17" s="95"/>
      <c r="H17" s="95"/>
      <c r="I17" s="95"/>
      <c r="J17" s="32"/>
      <c r="K17" s="70"/>
      <c r="L17" s="98"/>
    </row>
    <row r="18" spans="1:12" x14ac:dyDescent="0.25">
      <c r="A18" s="13">
        <f t="shared" si="0"/>
        <v>12</v>
      </c>
      <c r="B18" s="39" t="s">
        <v>102</v>
      </c>
      <c r="C18" s="38">
        <v>46</v>
      </c>
      <c r="D18" s="70">
        <f>+'UE-190529 LR Data - Energy'!J31</f>
        <v>79573505.048999339</v>
      </c>
      <c r="E18" s="95">
        <f>+D18/D$25*0.75</f>
        <v>2.7091981628439414E-3</v>
      </c>
      <c r="F18" s="70">
        <v>0</v>
      </c>
      <c r="G18" s="95">
        <f>+F18/F$25*0.25</f>
        <v>0</v>
      </c>
      <c r="H18" s="95">
        <f>+G18+E18</f>
        <v>2.7091981628439414E-3</v>
      </c>
      <c r="I18" s="95"/>
      <c r="J18" s="32">
        <f>+H18*($I$25)</f>
        <v>-76473.813322531249</v>
      </c>
      <c r="K18" s="70">
        <f>+'Estimated Proforma Net Revenue'!C23</f>
        <v>78958000</v>
      </c>
      <c r="L18" s="96">
        <f t="shared" ref="L18:L19" si="3">(+J18/K18)</f>
        <v>-9.6853787231859019E-4</v>
      </c>
    </row>
    <row r="19" spans="1:12" x14ac:dyDescent="0.25">
      <c r="A19" s="13">
        <f t="shared" si="0"/>
        <v>13</v>
      </c>
      <c r="B19" s="39" t="s">
        <v>103</v>
      </c>
      <c r="C19" s="38">
        <v>49</v>
      </c>
      <c r="D19" s="70">
        <f>+'UE-190529 LR Data - Energy'!J32</f>
        <v>550655414.21762562</v>
      </c>
      <c r="E19" s="95">
        <f>+D19/D$25*0.75</f>
        <v>1.8747881416557269E-2</v>
      </c>
      <c r="F19" s="70">
        <f>'UE-190529 LR Data - Dem 4CP'!N18</f>
        <v>69577.130407689765</v>
      </c>
      <c r="G19" s="95">
        <f>+F19/F$25*0.25</f>
        <v>4.4855069580225088E-3</v>
      </c>
      <c r="H19" s="95">
        <f>+G19+E19</f>
        <v>2.3233388374579778E-2</v>
      </c>
      <c r="I19" s="95"/>
      <c r="J19" s="32">
        <f>+H19*($I$25)</f>
        <v>-655819.80298641894</v>
      </c>
      <c r="K19" s="70">
        <f>+'Estimated Proforma Net Revenue'!C24</f>
        <v>504163000</v>
      </c>
      <c r="L19" s="96">
        <f t="shared" si="3"/>
        <v>-1.3008090696588583E-3</v>
      </c>
    </row>
    <row r="20" spans="1:12" x14ac:dyDescent="0.25">
      <c r="A20" s="13">
        <f t="shared" si="0"/>
        <v>14</v>
      </c>
      <c r="B20" s="39"/>
      <c r="C20" s="38"/>
      <c r="E20" s="95"/>
      <c r="G20" s="95"/>
      <c r="H20" s="95"/>
      <c r="I20" s="95"/>
      <c r="J20" s="32"/>
      <c r="K20" s="70"/>
      <c r="L20" s="98"/>
    </row>
    <row r="21" spans="1:12" x14ac:dyDescent="0.25">
      <c r="A21" s="13">
        <f t="shared" si="0"/>
        <v>15</v>
      </c>
      <c r="B21" s="14" t="s">
        <v>9</v>
      </c>
      <c r="C21" s="38" t="s">
        <v>63</v>
      </c>
      <c r="D21" s="70">
        <f>+'UE-190529 LR Data Summary'!D18</f>
        <v>75887375.026475519</v>
      </c>
      <c r="E21" s="95">
        <f>+D21/D$25*0.75</f>
        <v>2.5836983915459946E-3</v>
      </c>
      <c r="F21" s="70">
        <f>'UE-190529 LR Data Summary'!F18</f>
        <v>8059.2720272472116</v>
      </c>
      <c r="G21" s="95">
        <f>+F21/F$25*0.25</f>
        <v>5.1956613535211553E-4</v>
      </c>
      <c r="H21" s="95">
        <f>+G21+E21</f>
        <v>3.1032645268981099E-3</v>
      </c>
      <c r="I21" s="95"/>
      <c r="J21" s="32">
        <f>+H21*($I$25)</f>
        <v>-87597.310294687966</v>
      </c>
      <c r="K21" s="70">
        <f>+'Estimated Proforma Net Revenue'!C27</f>
        <v>64560000</v>
      </c>
      <c r="L21" s="96">
        <f>(+J21/K21)</f>
        <v>-1.3568356613179672E-3</v>
      </c>
    </row>
    <row r="22" spans="1:12" x14ac:dyDescent="0.25">
      <c r="A22" s="13">
        <f t="shared" si="0"/>
        <v>16</v>
      </c>
      <c r="C22" s="38"/>
      <c r="E22" s="95"/>
      <c r="J22" s="32"/>
      <c r="L22" s="98"/>
    </row>
    <row r="23" spans="1:12" x14ac:dyDescent="0.25">
      <c r="A23" s="13">
        <f t="shared" si="0"/>
        <v>17</v>
      </c>
      <c r="B23" s="39" t="s">
        <v>65</v>
      </c>
      <c r="C23" s="38">
        <v>5</v>
      </c>
      <c r="D23" s="70">
        <f>+'UE-190529 LR Data Summary'!D20</f>
        <v>7427003.1359829875</v>
      </c>
      <c r="E23" s="95">
        <f>+D23/D$25*0.75</f>
        <v>2.5286335243183223E-4</v>
      </c>
      <c r="F23" s="70">
        <f>'UE-190529 LR Data Summary'!F20</f>
        <v>1428.4140277629981</v>
      </c>
      <c r="G23" s="95">
        <f>+F23/F$25*0.25</f>
        <v>9.2087170352167269E-5</v>
      </c>
      <c r="H23" s="95">
        <f>+G23+E23</f>
        <v>3.4495052278399948E-4</v>
      </c>
      <c r="I23" s="95"/>
      <c r="J23" s="32">
        <f>+H23*($I$25)</f>
        <v>-9737.0809735089479</v>
      </c>
      <c r="K23" s="70">
        <f>+'Estimated Proforma Net Revenue'!C33</f>
        <v>7520000</v>
      </c>
      <c r="L23" s="96">
        <f>(+J23/K23)</f>
        <v>-1.2948245975410834E-3</v>
      </c>
    </row>
    <row r="24" spans="1:12" x14ac:dyDescent="0.25">
      <c r="A24" s="13">
        <f t="shared" si="0"/>
        <v>18</v>
      </c>
      <c r="C24" s="38"/>
      <c r="E24" s="95"/>
      <c r="J24" s="32"/>
      <c r="L24" s="98"/>
    </row>
    <row r="25" spans="1:12" x14ac:dyDescent="0.25">
      <c r="A25" s="13">
        <f t="shared" si="0"/>
        <v>19</v>
      </c>
      <c r="B25" s="14" t="s">
        <v>10</v>
      </c>
      <c r="C25" s="38"/>
      <c r="D25" s="70">
        <f>SUM(D7:D23)</f>
        <v>22028705616.757526</v>
      </c>
      <c r="E25" s="95">
        <f>SUM(E7:E23)</f>
        <v>0.75000000000000022</v>
      </c>
      <c r="F25" s="70">
        <f>SUM(F7:F23)</f>
        <v>3877885.5466519948</v>
      </c>
      <c r="G25" s="95">
        <f>SUM(G7:G23)</f>
        <v>0.25</v>
      </c>
      <c r="H25" s="95">
        <f>SUM(H7:H23)</f>
        <v>1</v>
      </c>
      <c r="I25" s="32">
        <f>'Rev Req 2022'!H29</f>
        <v>-28227471.275949035</v>
      </c>
      <c r="J25" s="32">
        <f>SUM(J7:J23)</f>
        <v>-28227471.275949046</v>
      </c>
      <c r="K25" s="70">
        <f>SUM(K7:K23)</f>
        <v>20219267000</v>
      </c>
      <c r="L25" s="96">
        <f>(+J25/K25)</f>
        <v>-1.3960679818882181E-3</v>
      </c>
    </row>
    <row r="26" spans="1:12" x14ac:dyDescent="0.25">
      <c r="A26" s="13">
        <f t="shared" si="0"/>
        <v>20</v>
      </c>
      <c r="C26" s="38"/>
      <c r="J26" s="32"/>
      <c r="L26" s="73"/>
    </row>
    <row r="27" spans="1:12" x14ac:dyDescent="0.25">
      <c r="A27" s="13">
        <f t="shared" si="0"/>
        <v>21</v>
      </c>
      <c r="B27" s="14" t="s">
        <v>11</v>
      </c>
      <c r="C27" s="38" t="s">
        <v>128</v>
      </c>
      <c r="H27" s="70"/>
      <c r="I27" s="70"/>
      <c r="J27" s="32"/>
      <c r="K27" s="70">
        <f>+'Estimated Proforma Net Revenue'!C29</f>
        <v>2190147000</v>
      </c>
      <c r="L27" s="99"/>
    </row>
    <row r="28" spans="1:12" x14ac:dyDescent="0.25">
      <c r="A28" s="13">
        <f t="shared" si="0"/>
        <v>22</v>
      </c>
      <c r="C28" s="38"/>
      <c r="H28" s="70"/>
      <c r="I28" s="70"/>
      <c r="J28" s="32"/>
      <c r="K28" s="70"/>
      <c r="L28" s="99"/>
    </row>
    <row r="29" spans="1:12" x14ac:dyDescent="0.25">
      <c r="A29" s="13">
        <f t="shared" si="0"/>
        <v>23</v>
      </c>
      <c r="B29" s="14" t="s">
        <v>347</v>
      </c>
      <c r="C29" s="38" t="s">
        <v>348</v>
      </c>
      <c r="H29" s="70"/>
      <c r="I29" s="70"/>
      <c r="J29" s="32"/>
      <c r="K29" s="70"/>
      <c r="L29" s="99"/>
    </row>
    <row r="30" spans="1:12" x14ac:dyDescent="0.25">
      <c r="A30" s="13">
        <f t="shared" si="0"/>
        <v>24</v>
      </c>
      <c r="L30" s="16"/>
    </row>
    <row r="31" spans="1:12" x14ac:dyDescent="0.25">
      <c r="A31" s="13">
        <f t="shared" si="0"/>
        <v>25</v>
      </c>
      <c r="B31" s="14" t="s">
        <v>12</v>
      </c>
      <c r="J31" s="32"/>
      <c r="K31" s="70">
        <f>+K27+K25</f>
        <v>22409414000</v>
      </c>
      <c r="L31" s="98"/>
    </row>
    <row r="32" spans="1:12" x14ac:dyDescent="0.25">
      <c r="A32" s="13"/>
      <c r="J32" s="32"/>
      <c r="K32" s="70"/>
      <c r="L32" s="16"/>
    </row>
    <row r="33" spans="1:12" ht="13.8" thickBot="1" x14ac:dyDescent="0.3">
      <c r="A33" s="42"/>
      <c r="B33" s="43"/>
      <c r="C33" s="43"/>
      <c r="D33" s="45"/>
      <c r="E33" s="43"/>
      <c r="F33" s="45"/>
      <c r="G33" s="43"/>
      <c r="H33" s="43"/>
      <c r="I33" s="43"/>
      <c r="J33" s="43"/>
      <c r="K33" s="43"/>
      <c r="L33" s="47"/>
    </row>
    <row r="35" spans="1:12" x14ac:dyDescent="0.25">
      <c r="D35" s="327">
        <f>'UE-190529 LR Data Summary'!D22</f>
        <v>22028705616.757526</v>
      </c>
      <c r="E35" s="328"/>
      <c r="F35" s="331">
        <f>'UE-190529 LR Data Summary'!F22</f>
        <v>3877885.5466519948</v>
      </c>
      <c r="G35" s="328"/>
      <c r="H35" s="328"/>
      <c r="I35" s="328"/>
      <c r="J35" s="328"/>
      <c r="K35" s="329">
        <f>'Rate Impacts'!D37</f>
        <v>22409414000</v>
      </c>
    </row>
    <row r="36" spans="1:12" x14ac:dyDescent="0.25">
      <c r="D36" s="327">
        <f>+D35-D25</f>
        <v>0</v>
      </c>
      <c r="E36" s="328"/>
      <c r="F36" s="327">
        <f>+F35-F25</f>
        <v>0</v>
      </c>
      <c r="G36" s="328"/>
      <c r="H36" s="328"/>
      <c r="I36" s="328"/>
      <c r="J36" s="328"/>
      <c r="K36" s="329">
        <f>+K31-K35</f>
        <v>0</v>
      </c>
    </row>
  </sheetData>
  <mergeCells count="2">
    <mergeCell ref="A1:L1"/>
    <mergeCell ref="A2:L2"/>
  </mergeCells>
  <phoneticPr fontId="9" type="noConversion"/>
  <printOptions horizontalCentered="1"/>
  <pageMargins left="0.7" right="0.7" top="0.75" bottom="0.75" header="0.3" footer="0.3"/>
  <pageSetup scale="75" fitToHeight="6" orientation="landscape" r:id="rId1"/>
  <headerFooter alignWithMargins="0">
    <oddFooter>&amp;L&amp;F
&amp;A&amp;RSchedule 95A Filing Eff 1-1-21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zoomScaleNormal="100" workbookViewId="0">
      <pane xSplit="2" ySplit="8" topLeftCell="C9" activePane="bottomRight" state="frozen"/>
      <selection activeCell="L8" sqref="L8"/>
      <selection pane="topRight" activeCell="L8" sqref="L8"/>
      <selection pane="bottomLeft" activeCell="L8" sqref="L8"/>
      <selection pane="bottomRight" activeCell="C7" sqref="C7:C35"/>
    </sheetView>
  </sheetViews>
  <sheetFormatPr defaultColWidth="6.44140625" defaultRowHeight="13.2" x14ac:dyDescent="0.25"/>
  <cols>
    <col min="1" max="1" width="4.44140625" style="4" bestFit="1" customWidth="1"/>
    <col min="2" max="2" width="22.6640625" style="4" bestFit="1" customWidth="1"/>
    <col min="3" max="5" width="15.109375" style="4" bestFit="1" customWidth="1"/>
    <col min="6" max="6" width="13.33203125" style="4" bestFit="1" customWidth="1"/>
    <col min="7" max="7" width="13.33203125" style="4" customWidth="1"/>
    <col min="8" max="8" width="13.5546875" style="4" bestFit="1" customWidth="1"/>
    <col min="9" max="9" width="12.44140625" style="4" bestFit="1" customWidth="1"/>
    <col min="10" max="10" width="12" style="4" customWidth="1"/>
    <col min="11" max="11" width="12.44140625" style="4" bestFit="1" customWidth="1"/>
    <col min="12" max="12" width="13.21875" style="4" bestFit="1" customWidth="1"/>
    <col min="13" max="14" width="13.5546875" style="4" customWidth="1"/>
    <col min="15" max="15" width="13.5546875" style="4" bestFit="1" customWidth="1"/>
    <col min="16" max="16" width="13.33203125" style="4" bestFit="1" customWidth="1"/>
    <col min="17" max="16384" width="6.44140625" style="4"/>
  </cols>
  <sheetData>
    <row r="1" spans="1:16" x14ac:dyDescent="0.25">
      <c r="A1" s="436" t="s">
        <v>13</v>
      </c>
      <c r="B1" s="436"/>
      <c r="C1" s="436"/>
      <c r="D1" s="436"/>
      <c r="E1" s="436"/>
      <c r="F1" s="436"/>
      <c r="G1" s="436"/>
      <c r="H1" s="436"/>
      <c r="I1" s="436"/>
      <c r="J1" s="436"/>
      <c r="K1" s="436"/>
      <c r="L1" s="436"/>
      <c r="M1" s="436"/>
      <c r="N1" s="436"/>
      <c r="O1" s="436"/>
      <c r="P1" s="436"/>
    </row>
    <row r="2" spans="1:16" x14ac:dyDescent="0.25">
      <c r="A2" s="437" t="s">
        <v>428</v>
      </c>
      <c r="B2" s="436"/>
      <c r="C2" s="436"/>
      <c r="D2" s="436"/>
      <c r="E2" s="436"/>
      <c r="F2" s="436"/>
      <c r="G2" s="436"/>
      <c r="H2" s="436"/>
      <c r="I2" s="436"/>
      <c r="J2" s="436"/>
      <c r="K2" s="436"/>
      <c r="L2" s="436"/>
      <c r="M2" s="436"/>
      <c r="N2" s="436"/>
      <c r="O2" s="436"/>
      <c r="P2" s="436"/>
    </row>
    <row r="3" spans="1:16" x14ac:dyDescent="0.25">
      <c r="A3" s="437" t="s">
        <v>429</v>
      </c>
      <c r="B3" s="436"/>
      <c r="C3" s="436"/>
      <c r="D3" s="436"/>
      <c r="E3" s="436"/>
      <c r="F3" s="436"/>
      <c r="G3" s="436"/>
      <c r="H3" s="436"/>
      <c r="I3" s="436"/>
      <c r="J3" s="436"/>
      <c r="K3" s="436"/>
      <c r="L3" s="436"/>
      <c r="M3" s="436"/>
      <c r="N3" s="436"/>
      <c r="O3" s="436"/>
      <c r="P3" s="436"/>
    </row>
    <row r="4" spans="1:16" x14ac:dyDescent="0.25">
      <c r="A4" s="437"/>
      <c r="B4" s="436"/>
      <c r="C4" s="436"/>
      <c r="D4" s="436"/>
      <c r="E4" s="436"/>
      <c r="F4" s="436"/>
      <c r="G4" s="436"/>
      <c r="H4" s="436"/>
      <c r="I4" s="436"/>
      <c r="J4" s="436"/>
      <c r="K4" s="436"/>
      <c r="L4" s="436"/>
      <c r="M4" s="436"/>
      <c r="N4" s="436"/>
      <c r="O4" s="436"/>
      <c r="P4" s="436"/>
    </row>
    <row r="5" spans="1:16" x14ac:dyDescent="0.25">
      <c r="A5" s="72"/>
      <c r="B5" s="68"/>
      <c r="C5" s="68"/>
      <c r="D5" s="68"/>
      <c r="E5" s="68"/>
      <c r="F5" s="68"/>
      <c r="G5" s="332"/>
      <c r="H5" s="68"/>
      <c r="I5" s="68"/>
      <c r="J5" s="68"/>
      <c r="K5" s="68"/>
      <c r="L5" s="68"/>
      <c r="M5" s="110"/>
      <c r="N5" s="116"/>
      <c r="O5" s="68"/>
      <c r="P5" s="68"/>
    </row>
    <row r="6" spans="1:16" x14ac:dyDescent="0.25">
      <c r="A6" s="72"/>
      <c r="B6" s="68"/>
      <c r="C6" s="68"/>
      <c r="D6" s="68"/>
      <c r="E6" s="68"/>
      <c r="F6" s="68"/>
      <c r="G6" s="332"/>
      <c r="H6" s="68"/>
      <c r="I6" s="68"/>
      <c r="J6" s="68"/>
      <c r="K6" s="68"/>
      <c r="L6" s="68"/>
      <c r="M6" s="110"/>
      <c r="N6" s="116"/>
      <c r="O6" s="68"/>
      <c r="P6" s="68"/>
    </row>
    <row r="7" spans="1:16" s="5" customFormat="1" ht="66" x14ac:dyDescent="0.25">
      <c r="A7" s="82" t="s">
        <v>0</v>
      </c>
      <c r="B7" s="82" t="s">
        <v>120</v>
      </c>
      <c r="C7" s="67" t="s">
        <v>121</v>
      </c>
      <c r="D7" s="83" t="s">
        <v>130</v>
      </c>
      <c r="E7" s="83" t="s">
        <v>122</v>
      </c>
      <c r="F7" s="83" t="s">
        <v>402</v>
      </c>
      <c r="G7" s="83" t="s">
        <v>403</v>
      </c>
      <c r="H7" s="83" t="s">
        <v>123</v>
      </c>
      <c r="I7" s="83" t="s">
        <v>124</v>
      </c>
      <c r="J7" s="83" t="s">
        <v>125</v>
      </c>
      <c r="K7" s="83" t="s">
        <v>126</v>
      </c>
      <c r="L7" s="83" t="s">
        <v>404</v>
      </c>
      <c r="M7" s="83" t="s">
        <v>377</v>
      </c>
      <c r="N7" s="287" t="s">
        <v>405</v>
      </c>
      <c r="O7" s="83" t="s">
        <v>406</v>
      </c>
      <c r="P7" s="83" t="s">
        <v>127</v>
      </c>
    </row>
    <row r="8" spans="1:16" s="5" customFormat="1" ht="26.4" x14ac:dyDescent="0.25">
      <c r="A8" s="18"/>
      <c r="B8" s="18"/>
      <c r="C8" s="84" t="s">
        <v>14</v>
      </c>
      <c r="D8" s="85" t="s">
        <v>352</v>
      </c>
      <c r="E8" s="84" t="s">
        <v>16</v>
      </c>
      <c r="F8" s="85" t="s">
        <v>66</v>
      </c>
      <c r="G8" s="107" t="s">
        <v>138</v>
      </c>
      <c r="H8" s="107" t="s">
        <v>107</v>
      </c>
      <c r="I8" s="108" t="s">
        <v>143</v>
      </c>
      <c r="J8" s="107" t="s">
        <v>139</v>
      </c>
      <c r="K8" s="107" t="s">
        <v>140</v>
      </c>
      <c r="L8" s="107" t="s">
        <v>109</v>
      </c>
      <c r="M8" s="85" t="s">
        <v>141</v>
      </c>
      <c r="N8" s="107" t="s">
        <v>142</v>
      </c>
      <c r="O8" s="107" t="s">
        <v>349</v>
      </c>
      <c r="P8" s="108" t="s">
        <v>350</v>
      </c>
    </row>
    <row r="9" spans="1:16" s="5" customFormat="1" x14ac:dyDescent="0.25">
      <c r="A9" s="68">
        <v>1</v>
      </c>
      <c r="B9" s="71">
        <v>7</v>
      </c>
      <c r="C9" s="76">
        <v>10857353000</v>
      </c>
      <c r="D9" s="86">
        <f>SUM(E9:P9)</f>
        <v>1210080000</v>
      </c>
      <c r="E9" s="284">
        <v>1177914000</v>
      </c>
      <c r="F9" s="284">
        <v>23176000</v>
      </c>
      <c r="G9" s="284">
        <v>35984000</v>
      </c>
      <c r="H9" s="284">
        <v>41529000</v>
      </c>
      <c r="I9" s="284">
        <v>14679000</v>
      </c>
      <c r="J9" s="284">
        <v>-467000</v>
      </c>
      <c r="K9" s="284">
        <v>33354000</v>
      </c>
      <c r="L9" s="284">
        <v>-32746000</v>
      </c>
      <c r="M9" s="284">
        <v>-9598000</v>
      </c>
      <c r="N9" s="284">
        <v>-4528000</v>
      </c>
      <c r="O9" s="284">
        <v>3409000</v>
      </c>
      <c r="P9" s="284">
        <v>-72626000</v>
      </c>
    </row>
    <row r="10" spans="1:16" x14ac:dyDescent="0.25">
      <c r="A10" s="68">
        <f>+A9+1</f>
        <v>2</v>
      </c>
      <c r="B10" s="87" t="s">
        <v>1</v>
      </c>
      <c r="C10" s="88">
        <f t="shared" ref="C10:D10" si="0">SUM(C9:C9)</f>
        <v>10857353000</v>
      </c>
      <c r="D10" s="89">
        <f t="shared" si="0"/>
        <v>1210080000</v>
      </c>
      <c r="E10" s="285">
        <f t="shared" ref="E10:G10" si="1">SUM(E9:E9)</f>
        <v>1177914000</v>
      </c>
      <c r="F10" s="285">
        <f t="shared" si="1"/>
        <v>23176000</v>
      </c>
      <c r="G10" s="285">
        <f t="shared" si="1"/>
        <v>35984000</v>
      </c>
      <c r="H10" s="285">
        <f t="shared" ref="H10:I10" si="2">SUM(H9:H9)</f>
        <v>41529000</v>
      </c>
      <c r="I10" s="285">
        <f t="shared" si="2"/>
        <v>14679000</v>
      </c>
      <c r="J10" s="285">
        <f t="shared" ref="J10:P10" si="3">SUM(J9:J9)</f>
        <v>-467000</v>
      </c>
      <c r="K10" s="285">
        <f t="shared" si="3"/>
        <v>33354000</v>
      </c>
      <c r="L10" s="285">
        <f t="shared" si="3"/>
        <v>-32746000</v>
      </c>
      <c r="M10" s="285">
        <f t="shared" si="3"/>
        <v>-9598000</v>
      </c>
      <c r="N10" s="285">
        <f t="shared" si="3"/>
        <v>-4528000</v>
      </c>
      <c r="O10" s="285">
        <f t="shared" si="3"/>
        <v>3409000</v>
      </c>
      <c r="P10" s="285">
        <f t="shared" si="3"/>
        <v>-72626000</v>
      </c>
    </row>
    <row r="11" spans="1:16" x14ac:dyDescent="0.25">
      <c r="A11" s="68">
        <f t="shared" ref="A11:A35" si="4">+A10+1</f>
        <v>3</v>
      </c>
      <c r="B11" s="68"/>
      <c r="C11" s="76"/>
      <c r="D11" s="86"/>
      <c r="E11" s="284"/>
      <c r="F11" s="284"/>
      <c r="G11" s="284"/>
      <c r="H11" s="284"/>
      <c r="I11" s="284"/>
      <c r="J11" s="284"/>
      <c r="K11" s="284"/>
      <c r="L11" s="284"/>
      <c r="M11" s="284"/>
      <c r="N11" s="284"/>
      <c r="O11" s="284"/>
      <c r="P11" s="284"/>
    </row>
    <row r="12" spans="1:16" x14ac:dyDescent="0.25">
      <c r="A12" s="68">
        <f t="shared" si="4"/>
        <v>4</v>
      </c>
      <c r="B12" s="71" t="s">
        <v>337</v>
      </c>
      <c r="C12" s="76">
        <v>2628116000</v>
      </c>
      <c r="D12" s="86">
        <f>SUM(E12:P12)</f>
        <v>304249000</v>
      </c>
      <c r="E12" s="284">
        <v>267147000</v>
      </c>
      <c r="F12" s="284">
        <v>5663000</v>
      </c>
      <c r="G12" s="284">
        <v>9064000</v>
      </c>
      <c r="H12" s="284">
        <v>10119000</v>
      </c>
      <c r="I12" s="284">
        <v>3506000</v>
      </c>
      <c r="J12" s="284">
        <v>-115000</v>
      </c>
      <c r="K12" s="284">
        <v>6935000</v>
      </c>
      <c r="L12" s="284">
        <v>-6394000</v>
      </c>
      <c r="M12" s="284">
        <v>-1873000</v>
      </c>
      <c r="N12" s="284">
        <v>8620000</v>
      </c>
      <c r="O12" s="284">
        <v>3157000</v>
      </c>
      <c r="P12" s="284">
        <v>-1580000</v>
      </c>
    </row>
    <row r="13" spans="1:16" x14ac:dyDescent="0.25">
      <c r="A13" s="68">
        <f t="shared" si="4"/>
        <v>5</v>
      </c>
      <c r="B13" s="90" t="s">
        <v>338</v>
      </c>
      <c r="C13" s="76">
        <v>2836808000</v>
      </c>
      <c r="D13" s="86">
        <f>SUM(E13:P13)</f>
        <v>300376000</v>
      </c>
      <c r="E13" s="284">
        <v>263737000</v>
      </c>
      <c r="F13" s="284">
        <v>6308000</v>
      </c>
      <c r="G13" s="284">
        <v>9621000</v>
      </c>
      <c r="H13" s="284">
        <v>11597000</v>
      </c>
      <c r="I13" s="284">
        <v>3421000</v>
      </c>
      <c r="J13" s="284">
        <v>-128000</v>
      </c>
      <c r="K13" s="284">
        <v>6890000</v>
      </c>
      <c r="L13" s="284">
        <v>-6474000</v>
      </c>
      <c r="M13" s="284">
        <v>-1898000</v>
      </c>
      <c r="N13" s="284">
        <v>8385000</v>
      </c>
      <c r="O13" s="284">
        <v>-173000</v>
      </c>
      <c r="P13" s="284">
        <v>-910000</v>
      </c>
    </row>
    <row r="14" spans="1:16" x14ac:dyDescent="0.25">
      <c r="A14" s="68">
        <f t="shared" si="4"/>
        <v>6</v>
      </c>
      <c r="B14" s="90" t="s">
        <v>339</v>
      </c>
      <c r="C14" s="76">
        <v>1789712000</v>
      </c>
      <c r="D14" s="86">
        <f>SUM(E14:P14)</f>
        <v>176857000</v>
      </c>
      <c r="E14" s="284">
        <v>152470000</v>
      </c>
      <c r="F14" s="284">
        <v>4165000</v>
      </c>
      <c r="G14" s="284">
        <v>5885000</v>
      </c>
      <c r="H14" s="284">
        <v>7516000</v>
      </c>
      <c r="I14" s="284">
        <v>2001000</v>
      </c>
      <c r="J14" s="284">
        <v>-84000</v>
      </c>
      <c r="K14" s="284">
        <v>4129000</v>
      </c>
      <c r="L14" s="284">
        <v>-3523000</v>
      </c>
      <c r="M14" s="284">
        <v>-1033000</v>
      </c>
      <c r="N14" s="284">
        <v>4904000</v>
      </c>
      <c r="O14" s="284">
        <v>541000</v>
      </c>
      <c r="P14" s="284">
        <v>-114000</v>
      </c>
    </row>
    <row r="15" spans="1:16" x14ac:dyDescent="0.25">
      <c r="A15" s="68">
        <f t="shared" si="4"/>
        <v>7</v>
      </c>
      <c r="B15" s="71">
        <v>29</v>
      </c>
      <c r="C15" s="76">
        <v>14336000</v>
      </c>
      <c r="D15" s="86">
        <f>SUM(E15:P15)</f>
        <v>1237000</v>
      </c>
      <c r="E15" s="284">
        <v>1158000</v>
      </c>
      <c r="F15" s="284">
        <v>27000</v>
      </c>
      <c r="G15" s="284">
        <v>52000</v>
      </c>
      <c r="H15" s="284">
        <v>49000</v>
      </c>
      <c r="I15" s="284">
        <v>15000</v>
      </c>
      <c r="J15" s="284">
        <v>-1000</v>
      </c>
      <c r="K15" s="284">
        <v>35000</v>
      </c>
      <c r="L15" s="284">
        <v>-33000</v>
      </c>
      <c r="M15" s="284">
        <v>-10000</v>
      </c>
      <c r="N15" s="284">
        <v>42000</v>
      </c>
      <c r="O15" s="284">
        <v>-1000</v>
      </c>
      <c r="P15" s="284">
        <v>-96000</v>
      </c>
    </row>
    <row r="16" spans="1:16" x14ac:dyDescent="0.25">
      <c r="A16" s="68">
        <f t="shared" si="4"/>
        <v>8</v>
      </c>
      <c r="B16" s="91" t="s">
        <v>69</v>
      </c>
      <c r="C16" s="88">
        <f t="shared" ref="C16:D16" si="5">SUM(C12:C15)</f>
        <v>7268972000</v>
      </c>
      <c r="D16" s="89">
        <f t="shared" si="5"/>
        <v>782719000</v>
      </c>
      <c r="E16" s="285">
        <f t="shared" ref="E16:G16" si="6">SUM(E12:E15)</f>
        <v>684512000</v>
      </c>
      <c r="F16" s="285">
        <f t="shared" si="6"/>
        <v>16163000</v>
      </c>
      <c r="G16" s="285">
        <f t="shared" si="6"/>
        <v>24622000</v>
      </c>
      <c r="H16" s="285">
        <f t="shared" ref="H16:I16" si="7">SUM(H12:H15)</f>
        <v>29281000</v>
      </c>
      <c r="I16" s="285">
        <f t="shared" si="7"/>
        <v>8943000</v>
      </c>
      <c r="J16" s="285">
        <f t="shared" ref="J16:P16" si="8">SUM(J12:J15)</f>
        <v>-328000</v>
      </c>
      <c r="K16" s="285">
        <f t="shared" si="8"/>
        <v>17989000</v>
      </c>
      <c r="L16" s="285">
        <f t="shared" si="8"/>
        <v>-16424000</v>
      </c>
      <c r="M16" s="285">
        <f t="shared" si="8"/>
        <v>-4814000</v>
      </c>
      <c r="N16" s="285">
        <f t="shared" si="8"/>
        <v>21951000</v>
      </c>
      <c r="O16" s="285">
        <f t="shared" si="8"/>
        <v>3524000</v>
      </c>
      <c r="P16" s="285">
        <f t="shared" si="8"/>
        <v>-2700000</v>
      </c>
    </row>
    <row r="17" spans="1:16" x14ac:dyDescent="0.25">
      <c r="A17" s="68">
        <f t="shared" si="4"/>
        <v>9</v>
      </c>
      <c r="B17" s="68"/>
      <c r="C17" s="76"/>
      <c r="D17" s="86"/>
      <c r="E17" s="284"/>
      <c r="F17" s="284"/>
      <c r="G17" s="284"/>
      <c r="H17" s="284"/>
      <c r="I17" s="284"/>
      <c r="J17" s="284"/>
      <c r="K17" s="284"/>
      <c r="L17" s="284"/>
      <c r="M17" s="284"/>
      <c r="N17" s="284"/>
      <c r="O17" s="284"/>
      <c r="P17" s="284"/>
    </row>
    <row r="18" spans="1:16" x14ac:dyDescent="0.25">
      <c r="A18" s="68">
        <f t="shared" si="4"/>
        <v>10</v>
      </c>
      <c r="B18" s="71" t="s">
        <v>340</v>
      </c>
      <c r="C18" s="76">
        <v>1318295000</v>
      </c>
      <c r="D18" s="86">
        <f>SUM(E18:P18)</f>
        <v>127996000</v>
      </c>
      <c r="E18" s="284">
        <v>110511000</v>
      </c>
      <c r="F18" s="284">
        <v>2807000</v>
      </c>
      <c r="G18" s="284">
        <v>4171000</v>
      </c>
      <c r="H18" s="284">
        <v>5038000</v>
      </c>
      <c r="I18" s="284">
        <v>1459000</v>
      </c>
      <c r="J18" s="284">
        <v>-57000</v>
      </c>
      <c r="K18" s="284">
        <v>2929000</v>
      </c>
      <c r="L18" s="284">
        <v>-2655000</v>
      </c>
      <c r="M18" s="284">
        <v>-778000</v>
      </c>
      <c r="N18" s="284">
        <v>3601000</v>
      </c>
      <c r="O18" s="284">
        <v>1151000</v>
      </c>
      <c r="P18" s="284">
        <v>-181000</v>
      </c>
    </row>
    <row r="19" spans="1:16" x14ac:dyDescent="0.25">
      <c r="A19" s="68">
        <f t="shared" si="4"/>
        <v>11</v>
      </c>
      <c r="B19" s="71">
        <v>35</v>
      </c>
      <c r="C19" s="76">
        <v>4565000</v>
      </c>
      <c r="D19" s="86">
        <f>SUM(E19:P19)</f>
        <v>298000</v>
      </c>
      <c r="E19" s="284">
        <v>293000</v>
      </c>
      <c r="F19" s="284">
        <v>7000</v>
      </c>
      <c r="G19" s="284">
        <v>8000</v>
      </c>
      <c r="H19" s="284">
        <v>13000</v>
      </c>
      <c r="I19" s="284">
        <v>4000</v>
      </c>
      <c r="J19" s="284">
        <v>0</v>
      </c>
      <c r="K19" s="284">
        <v>10000</v>
      </c>
      <c r="L19" s="284">
        <v>-15000</v>
      </c>
      <c r="M19" s="284">
        <v>-4000</v>
      </c>
      <c r="N19" s="284">
        <v>13000</v>
      </c>
      <c r="O19" s="284">
        <v>0</v>
      </c>
      <c r="P19" s="284">
        <v>-31000</v>
      </c>
    </row>
    <row r="20" spans="1:16" x14ac:dyDescent="0.25">
      <c r="A20" s="68">
        <f t="shared" si="4"/>
        <v>12</v>
      </c>
      <c r="B20" s="71">
        <v>43</v>
      </c>
      <c r="C20" s="76">
        <v>114881000</v>
      </c>
      <c r="D20" s="86">
        <f>SUM(E20:P20)</f>
        <v>11661000</v>
      </c>
      <c r="E20" s="284">
        <v>10426000</v>
      </c>
      <c r="F20" s="284">
        <v>195000</v>
      </c>
      <c r="G20" s="284">
        <v>287000</v>
      </c>
      <c r="H20" s="284">
        <v>352000</v>
      </c>
      <c r="I20" s="284">
        <v>133000</v>
      </c>
      <c r="J20" s="284">
        <v>-4000</v>
      </c>
      <c r="K20" s="284">
        <v>351000</v>
      </c>
      <c r="L20" s="284">
        <v>-319000</v>
      </c>
      <c r="M20" s="284">
        <v>-93000</v>
      </c>
      <c r="N20" s="284">
        <v>340000</v>
      </c>
      <c r="O20" s="284">
        <v>-7000</v>
      </c>
      <c r="P20" s="284">
        <v>0</v>
      </c>
    </row>
    <row r="21" spans="1:16" x14ac:dyDescent="0.25">
      <c r="A21" s="68">
        <f t="shared" si="4"/>
        <v>13</v>
      </c>
      <c r="B21" s="87" t="s">
        <v>70</v>
      </c>
      <c r="C21" s="88">
        <f t="shared" ref="C21:D21" si="9">SUM(C18:C20)</f>
        <v>1437741000</v>
      </c>
      <c r="D21" s="89">
        <f t="shared" si="9"/>
        <v>139955000</v>
      </c>
      <c r="E21" s="285">
        <f t="shared" ref="E21:G21" si="10">SUM(E18:E20)</f>
        <v>121230000</v>
      </c>
      <c r="F21" s="285">
        <f t="shared" si="10"/>
        <v>3009000</v>
      </c>
      <c r="G21" s="285">
        <f t="shared" si="10"/>
        <v>4466000</v>
      </c>
      <c r="H21" s="285">
        <f t="shared" ref="H21:I21" si="11">SUM(H18:H20)</f>
        <v>5403000</v>
      </c>
      <c r="I21" s="285">
        <f t="shared" si="11"/>
        <v>1596000</v>
      </c>
      <c r="J21" s="285">
        <f t="shared" ref="J21:P21" si="12">SUM(J18:J20)</f>
        <v>-61000</v>
      </c>
      <c r="K21" s="285">
        <f t="shared" si="12"/>
        <v>3290000</v>
      </c>
      <c r="L21" s="285">
        <f t="shared" si="12"/>
        <v>-2989000</v>
      </c>
      <c r="M21" s="285">
        <f t="shared" si="12"/>
        <v>-875000</v>
      </c>
      <c r="N21" s="285">
        <f t="shared" si="12"/>
        <v>3954000</v>
      </c>
      <c r="O21" s="285">
        <f t="shared" si="12"/>
        <v>1144000</v>
      </c>
      <c r="P21" s="285">
        <f t="shared" si="12"/>
        <v>-212000</v>
      </c>
    </row>
    <row r="22" spans="1:16" x14ac:dyDescent="0.25">
      <c r="A22" s="68">
        <f t="shared" si="4"/>
        <v>14</v>
      </c>
      <c r="B22" s="68"/>
      <c r="C22" s="76"/>
      <c r="D22" s="86"/>
      <c r="E22" s="284"/>
      <c r="F22" s="284"/>
      <c r="G22" s="284"/>
      <c r="H22" s="284"/>
      <c r="I22" s="284"/>
      <c r="J22" s="284"/>
      <c r="K22" s="284"/>
      <c r="L22" s="284"/>
      <c r="M22" s="284"/>
      <c r="N22" s="284"/>
      <c r="O22" s="284"/>
      <c r="P22" s="284"/>
    </row>
    <row r="23" spans="1:16" x14ac:dyDescent="0.25">
      <c r="A23" s="116">
        <f t="shared" si="4"/>
        <v>15</v>
      </c>
      <c r="B23" s="71">
        <v>46</v>
      </c>
      <c r="C23" s="76">
        <v>78958000</v>
      </c>
      <c r="D23" s="86">
        <f>SUM(E23:P23)</f>
        <v>6036000</v>
      </c>
      <c r="E23" s="284">
        <v>5395000</v>
      </c>
      <c r="F23" s="284">
        <v>144000</v>
      </c>
      <c r="G23" s="284">
        <v>176000</v>
      </c>
      <c r="H23" s="284">
        <v>281000</v>
      </c>
      <c r="I23" s="284">
        <v>68000</v>
      </c>
      <c r="J23" s="284">
        <v>-3000</v>
      </c>
      <c r="K23" s="284">
        <v>132000</v>
      </c>
      <c r="L23" s="284">
        <v>-121000</v>
      </c>
      <c r="M23" s="284">
        <v>-36000</v>
      </c>
      <c r="N23" s="284">
        <v>0</v>
      </c>
      <c r="O23" s="284">
        <v>0</v>
      </c>
      <c r="P23" s="284">
        <v>0</v>
      </c>
    </row>
    <row r="24" spans="1:16" x14ac:dyDescent="0.25">
      <c r="A24" s="68">
        <f t="shared" si="4"/>
        <v>16</v>
      </c>
      <c r="B24" s="71">
        <v>49</v>
      </c>
      <c r="C24" s="76">
        <v>504163000</v>
      </c>
      <c r="D24" s="86">
        <f>SUM(E24:P24)</f>
        <v>37909000</v>
      </c>
      <c r="E24" s="284">
        <v>33509000</v>
      </c>
      <c r="F24" s="284">
        <v>992000</v>
      </c>
      <c r="G24" s="284">
        <v>1400000</v>
      </c>
      <c r="H24" s="284">
        <v>1760000</v>
      </c>
      <c r="I24" s="284">
        <v>428000</v>
      </c>
      <c r="J24" s="284">
        <v>-20000</v>
      </c>
      <c r="K24" s="284">
        <v>841000</v>
      </c>
      <c r="L24" s="284">
        <v>-774000</v>
      </c>
      <c r="M24" s="284">
        <v>-227000</v>
      </c>
      <c r="N24" s="284">
        <v>0</v>
      </c>
      <c r="O24" s="284">
        <v>0</v>
      </c>
      <c r="P24" s="284">
        <v>0</v>
      </c>
    </row>
    <row r="25" spans="1:16" x14ac:dyDescent="0.25">
      <c r="A25" s="68">
        <f t="shared" si="4"/>
        <v>17</v>
      </c>
      <c r="B25" s="87" t="s">
        <v>71</v>
      </c>
      <c r="C25" s="88">
        <f t="shared" ref="C25" si="13">SUM(C23:C24)</f>
        <v>583121000</v>
      </c>
      <c r="D25" s="89">
        <f t="shared" ref="D25" si="14">SUM(D23:D24)</f>
        <v>43945000</v>
      </c>
      <c r="E25" s="285">
        <f t="shared" ref="E25:G25" si="15">SUM(E23:E24)</f>
        <v>38904000</v>
      </c>
      <c r="F25" s="285">
        <f t="shared" si="15"/>
        <v>1136000</v>
      </c>
      <c r="G25" s="285">
        <f t="shared" si="15"/>
        <v>1576000</v>
      </c>
      <c r="H25" s="285">
        <f t="shared" ref="H25:I25" si="16">SUM(H23:H24)</f>
        <v>2041000</v>
      </c>
      <c r="I25" s="285">
        <f t="shared" si="16"/>
        <v>496000</v>
      </c>
      <c r="J25" s="285">
        <f t="shared" ref="J25:P25" si="17">SUM(J23:J24)</f>
        <v>-23000</v>
      </c>
      <c r="K25" s="285">
        <f t="shared" si="17"/>
        <v>973000</v>
      </c>
      <c r="L25" s="285">
        <f t="shared" si="17"/>
        <v>-895000</v>
      </c>
      <c r="M25" s="285">
        <f t="shared" si="17"/>
        <v>-263000</v>
      </c>
      <c r="N25" s="285">
        <f t="shared" si="17"/>
        <v>0</v>
      </c>
      <c r="O25" s="285">
        <f t="shared" si="17"/>
        <v>0</v>
      </c>
      <c r="P25" s="285">
        <f t="shared" si="17"/>
        <v>0</v>
      </c>
    </row>
    <row r="26" spans="1:16" x14ac:dyDescent="0.25">
      <c r="A26" s="68">
        <f t="shared" si="4"/>
        <v>18</v>
      </c>
      <c r="B26" s="71"/>
      <c r="C26" s="76"/>
      <c r="D26" s="86"/>
      <c r="E26" s="284"/>
      <c r="F26" s="284"/>
      <c r="G26" s="284"/>
      <c r="H26" s="284"/>
      <c r="I26" s="284"/>
      <c r="J26" s="284"/>
      <c r="K26" s="284"/>
      <c r="L26" s="284"/>
      <c r="M26" s="284"/>
      <c r="N26" s="284"/>
      <c r="O26" s="284"/>
      <c r="P26" s="284"/>
    </row>
    <row r="27" spans="1:16" x14ac:dyDescent="0.25">
      <c r="A27" s="68">
        <f t="shared" si="4"/>
        <v>19</v>
      </c>
      <c r="B27" s="71" t="s">
        <v>63</v>
      </c>
      <c r="C27" s="88">
        <v>64560000</v>
      </c>
      <c r="D27" s="89">
        <f>SUM(E27:P27)</f>
        <v>16455000</v>
      </c>
      <c r="E27" s="285">
        <v>15826000</v>
      </c>
      <c r="F27" s="285">
        <v>138000</v>
      </c>
      <c r="G27" s="285">
        <v>196000</v>
      </c>
      <c r="H27" s="285">
        <v>233000</v>
      </c>
      <c r="I27" s="285">
        <v>190000</v>
      </c>
      <c r="J27" s="285">
        <v>-3000</v>
      </c>
      <c r="K27" s="285">
        <v>600000</v>
      </c>
      <c r="L27" s="285">
        <v>-551000</v>
      </c>
      <c r="M27" s="285">
        <v>-162000</v>
      </c>
      <c r="N27" s="285">
        <v>0</v>
      </c>
      <c r="O27" s="285">
        <v>0</v>
      </c>
      <c r="P27" s="285">
        <v>-12000</v>
      </c>
    </row>
    <row r="28" spans="1:16" x14ac:dyDescent="0.25">
      <c r="A28" s="68">
        <f t="shared" si="4"/>
        <v>20</v>
      </c>
      <c r="B28" s="71"/>
      <c r="C28" s="76"/>
      <c r="D28" s="86"/>
      <c r="E28" s="284"/>
      <c r="F28" s="284"/>
      <c r="G28" s="284"/>
      <c r="H28" s="284"/>
      <c r="I28" s="284"/>
      <c r="J28" s="284"/>
      <c r="K28" s="284"/>
      <c r="L28" s="284"/>
      <c r="M28" s="284"/>
      <c r="N28" s="284"/>
      <c r="O28" s="284"/>
      <c r="P28" s="284"/>
    </row>
    <row r="29" spans="1:16" x14ac:dyDescent="0.25">
      <c r="A29" s="68">
        <f t="shared" si="4"/>
        <v>21</v>
      </c>
      <c r="B29" s="71" t="s">
        <v>351</v>
      </c>
      <c r="C29" s="88">
        <v>2190147000</v>
      </c>
      <c r="D29" s="89">
        <f>SUM(E29:P29)</f>
        <v>16914000</v>
      </c>
      <c r="E29" s="285">
        <v>13222000</v>
      </c>
      <c r="F29" s="285">
        <v>0</v>
      </c>
      <c r="G29" s="285">
        <v>0</v>
      </c>
      <c r="H29" s="285">
        <v>2648000</v>
      </c>
      <c r="I29" s="285">
        <v>292000</v>
      </c>
      <c r="J29" s="285">
        <v>0</v>
      </c>
      <c r="K29" s="285">
        <v>182000</v>
      </c>
      <c r="L29" s="285">
        <v>-277000</v>
      </c>
      <c r="M29" s="285">
        <v>-81000</v>
      </c>
      <c r="N29" s="285">
        <v>182000</v>
      </c>
      <c r="O29" s="285">
        <v>746000</v>
      </c>
      <c r="P29" s="285">
        <v>0</v>
      </c>
    </row>
    <row r="30" spans="1:16" x14ac:dyDescent="0.25">
      <c r="A30" s="68">
        <f t="shared" si="4"/>
        <v>22</v>
      </c>
      <c r="B30" s="71"/>
      <c r="C30" s="76"/>
      <c r="D30" s="86"/>
      <c r="E30" s="284"/>
      <c r="F30" s="284"/>
      <c r="G30" s="284"/>
      <c r="H30" s="284"/>
      <c r="I30" s="284"/>
      <c r="J30" s="284"/>
      <c r="K30" s="284"/>
      <c r="L30" s="284"/>
      <c r="M30" s="284"/>
      <c r="N30" s="284"/>
      <c r="O30" s="284"/>
      <c r="P30" s="284"/>
    </row>
    <row r="31" spans="1:16" ht="13.8" thickBot="1" x14ac:dyDescent="0.3">
      <c r="A31" s="68">
        <f t="shared" si="4"/>
        <v>23</v>
      </c>
      <c r="B31" s="87" t="s">
        <v>12</v>
      </c>
      <c r="C31" s="92">
        <f>SUM(C10,C16,C21,C25,C27,C29)</f>
        <v>22401894000</v>
      </c>
      <c r="D31" s="92">
        <f t="shared" ref="D31" si="18">SUM(D10,D16,D21,D25,D27,D29)</f>
        <v>2210068000</v>
      </c>
      <c r="E31" s="286">
        <f>SUM(E10,E16,E21,E25,E27,E29)</f>
        <v>2051608000</v>
      </c>
      <c r="F31" s="286">
        <f>SUM(F10,F16,F21,F25,F27,F29)</f>
        <v>43622000</v>
      </c>
      <c r="G31" s="286">
        <f t="shared" ref="G31:I31" si="19">SUM(G10,G16,G21,G25,G27,G29)</f>
        <v>66844000</v>
      </c>
      <c r="H31" s="286">
        <f t="shared" si="19"/>
        <v>81135000</v>
      </c>
      <c r="I31" s="286">
        <f t="shared" si="19"/>
        <v>26196000</v>
      </c>
      <c r="J31" s="286">
        <f t="shared" ref="J31:P31" si="20">SUM(J10,J16,J21,J25,J27,J29)</f>
        <v>-882000</v>
      </c>
      <c r="K31" s="286">
        <f t="shared" si="20"/>
        <v>56388000</v>
      </c>
      <c r="L31" s="286">
        <f t="shared" si="20"/>
        <v>-53882000</v>
      </c>
      <c r="M31" s="286">
        <f t="shared" si="20"/>
        <v>-15793000</v>
      </c>
      <c r="N31" s="286">
        <f t="shared" si="20"/>
        <v>21559000</v>
      </c>
      <c r="O31" s="286">
        <f t="shared" si="20"/>
        <v>8823000</v>
      </c>
      <c r="P31" s="286">
        <f t="shared" si="20"/>
        <v>-75550000</v>
      </c>
    </row>
    <row r="32" spans="1:16" ht="13.8" thickTop="1" x14ac:dyDescent="0.25">
      <c r="A32" s="68">
        <f t="shared" si="4"/>
        <v>24</v>
      </c>
      <c r="B32" s="71"/>
      <c r="C32" s="70"/>
      <c r="D32" s="32"/>
      <c r="E32" s="114"/>
      <c r="F32" s="114"/>
      <c r="G32" s="114"/>
      <c r="H32" s="114"/>
      <c r="I32" s="114"/>
      <c r="J32" s="114"/>
      <c r="K32" s="114"/>
      <c r="L32" s="114"/>
      <c r="M32" s="114"/>
      <c r="N32" s="114"/>
      <c r="O32" s="114"/>
      <c r="P32" s="114"/>
    </row>
    <row r="33" spans="1:16" x14ac:dyDescent="0.25">
      <c r="A33" s="68">
        <f t="shared" si="4"/>
        <v>25</v>
      </c>
      <c r="B33" s="71">
        <v>5</v>
      </c>
      <c r="C33" s="88">
        <v>7520000</v>
      </c>
      <c r="D33" s="89">
        <f>SUM(E33:P33)</f>
        <v>696000</v>
      </c>
      <c r="E33" s="285">
        <v>715000</v>
      </c>
      <c r="F33" s="285">
        <v>0</v>
      </c>
      <c r="G33" s="285">
        <v>0</v>
      </c>
      <c r="H33" s="285">
        <v>0</v>
      </c>
      <c r="I33" s="285">
        <v>0</v>
      </c>
      <c r="J33" s="285">
        <v>0</v>
      </c>
      <c r="K33" s="285">
        <v>0</v>
      </c>
      <c r="L33" s="285">
        <v>-19000</v>
      </c>
      <c r="M33" s="285">
        <v>0</v>
      </c>
      <c r="N33" s="285">
        <v>0</v>
      </c>
      <c r="O33" s="285">
        <v>0</v>
      </c>
      <c r="P33" s="285">
        <v>0</v>
      </c>
    </row>
    <row r="34" spans="1:16" x14ac:dyDescent="0.25">
      <c r="A34" s="68">
        <f t="shared" si="4"/>
        <v>26</v>
      </c>
      <c r="B34" s="71"/>
      <c r="C34" s="70"/>
      <c r="D34" s="32"/>
      <c r="E34" s="114"/>
      <c r="F34" s="114"/>
      <c r="G34" s="114"/>
      <c r="H34" s="114"/>
      <c r="I34" s="114"/>
      <c r="J34" s="114"/>
      <c r="K34" s="114"/>
      <c r="L34" s="114"/>
      <c r="M34" s="114"/>
      <c r="N34" s="114"/>
      <c r="O34" s="114"/>
      <c r="P34" s="114"/>
    </row>
    <row r="35" spans="1:16" ht="13.8" thickBot="1" x14ac:dyDescent="0.3">
      <c r="A35" s="68">
        <f t="shared" si="4"/>
        <v>27</v>
      </c>
      <c r="B35" s="87" t="s">
        <v>129</v>
      </c>
      <c r="C35" s="92">
        <f>+C33+C31</f>
        <v>22409414000</v>
      </c>
      <c r="D35" s="93">
        <f t="shared" ref="D35" si="21">+D33+D31</f>
        <v>2210764000</v>
      </c>
      <c r="E35" s="286">
        <f>+E33+E31</f>
        <v>2052323000</v>
      </c>
      <c r="F35" s="286">
        <f>+F33+F31</f>
        <v>43622000</v>
      </c>
      <c r="G35" s="286">
        <f t="shared" ref="G35:I35" si="22">+G33+G31</f>
        <v>66844000</v>
      </c>
      <c r="H35" s="286">
        <f t="shared" si="22"/>
        <v>81135000</v>
      </c>
      <c r="I35" s="286">
        <f t="shared" si="22"/>
        <v>26196000</v>
      </c>
      <c r="J35" s="286">
        <f t="shared" ref="J35:P35" si="23">+J33+J31</f>
        <v>-882000</v>
      </c>
      <c r="K35" s="286">
        <f t="shared" si="23"/>
        <v>56388000</v>
      </c>
      <c r="L35" s="286">
        <f t="shared" si="23"/>
        <v>-53901000</v>
      </c>
      <c r="M35" s="286">
        <f t="shared" si="23"/>
        <v>-15793000</v>
      </c>
      <c r="N35" s="286">
        <f t="shared" si="23"/>
        <v>21559000</v>
      </c>
      <c r="O35" s="286">
        <f t="shared" si="23"/>
        <v>8823000</v>
      </c>
      <c r="P35" s="286">
        <f t="shared" si="23"/>
        <v>-75550000</v>
      </c>
    </row>
    <row r="36" spans="1:16" ht="13.8" thickTop="1" x14ac:dyDescent="0.25">
      <c r="A36" s="68"/>
    </row>
    <row r="37" spans="1:16" x14ac:dyDescent="0.25">
      <c r="A37" s="68"/>
      <c r="B37" s="87"/>
      <c r="C37" s="48"/>
    </row>
  </sheetData>
  <mergeCells count="4">
    <mergeCell ref="A1:P1"/>
    <mergeCell ref="A2:P2"/>
    <mergeCell ref="A3:P3"/>
    <mergeCell ref="A4:P4"/>
  </mergeCells>
  <printOptions horizontalCentered="1"/>
  <pageMargins left="0.7" right="0.7" top="0.75" bottom="0.75" header="0.3" footer="0.3"/>
  <pageSetup scale="54" orientation="landscape" r:id="rId1"/>
  <headerFooter alignWithMargins="0">
    <oddFooter>&amp;L&amp;F
&amp;A&amp;RSchedule 95A Filing Eff 1-1-21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7"/>
  <sheetViews>
    <sheetView workbookViewId="0">
      <pane xSplit="4" ySplit="7" topLeftCell="E184" activePane="bottomRight" state="frozen"/>
      <selection activeCell="L8" sqref="L8"/>
      <selection pane="topRight" activeCell="L8" sqref="L8"/>
      <selection pane="bottomLeft" activeCell="L8" sqref="L8"/>
      <selection pane="bottomRight" activeCell="F5" sqref="F5"/>
    </sheetView>
  </sheetViews>
  <sheetFormatPr defaultColWidth="8.88671875" defaultRowHeight="14.4" x14ac:dyDescent="0.3"/>
  <cols>
    <col min="1" max="1" width="4.44140625" style="74" bestFit="1" customWidth="1"/>
    <col min="2" max="2" width="44.33203125" style="74" bestFit="1" customWidth="1"/>
    <col min="3" max="3" width="18.6640625" style="74" bestFit="1" customWidth="1"/>
    <col min="4" max="4" width="12.33203125" style="74" bestFit="1" customWidth="1"/>
    <col min="5" max="5" width="11.88671875" style="74" bestFit="1" customWidth="1"/>
    <col min="6" max="7" width="11.33203125" style="74" customWidth="1"/>
    <col min="8" max="8" width="12.6640625" style="74" customWidth="1"/>
    <col min="9" max="9" width="12" style="74" customWidth="1"/>
    <col min="10" max="10" width="13" style="74" customWidth="1"/>
    <col min="11" max="11" width="1.88671875" style="100" customWidth="1"/>
    <col min="12" max="13" width="9.6640625" style="74" bestFit="1" customWidth="1"/>
    <col min="14" max="14" width="1.88671875" style="74" customWidth="1"/>
    <col min="15" max="15" width="12.44140625" style="74" bestFit="1" customWidth="1"/>
    <col min="16" max="16" width="11" style="74" bestFit="1" customWidth="1"/>
    <col min="17" max="17" width="9.44140625" style="105" bestFit="1" customWidth="1"/>
    <col min="18" max="16384" width="8.88671875" style="74"/>
  </cols>
  <sheetData>
    <row r="1" spans="1:17" x14ac:dyDescent="0.3">
      <c r="A1" s="438" t="s">
        <v>13</v>
      </c>
      <c r="B1" s="438"/>
      <c r="C1" s="438"/>
      <c r="D1" s="438"/>
      <c r="E1" s="438"/>
      <c r="F1" s="438"/>
      <c r="G1" s="438"/>
      <c r="H1" s="438"/>
      <c r="I1" s="438"/>
      <c r="J1" s="438"/>
    </row>
    <row r="2" spans="1:17" x14ac:dyDescent="0.3">
      <c r="A2" s="438" t="s">
        <v>430</v>
      </c>
      <c r="B2" s="438"/>
      <c r="C2" s="438"/>
      <c r="D2" s="438"/>
      <c r="E2" s="438"/>
      <c r="F2" s="438"/>
      <c r="G2" s="438"/>
      <c r="H2" s="438"/>
      <c r="I2" s="438"/>
      <c r="J2" s="438"/>
    </row>
    <row r="3" spans="1:17" x14ac:dyDescent="0.3">
      <c r="A3" s="439" t="s">
        <v>388</v>
      </c>
      <c r="B3" s="438"/>
      <c r="C3" s="438"/>
      <c r="D3" s="438"/>
      <c r="E3" s="438"/>
      <c r="F3" s="438"/>
      <c r="G3" s="438"/>
      <c r="H3" s="438"/>
      <c r="I3" s="438"/>
      <c r="J3" s="438"/>
    </row>
    <row r="4" spans="1:17" ht="15" thickBot="1" x14ac:dyDescent="0.35">
      <c r="A4" s="1"/>
      <c r="B4" s="438"/>
      <c r="C4" s="438"/>
      <c r="D4" s="438"/>
      <c r="E4" s="438"/>
      <c r="F4" s="438"/>
      <c r="G4" s="4"/>
      <c r="H4" s="4"/>
      <c r="I4" s="4"/>
    </row>
    <row r="5" spans="1:17" ht="93" x14ac:dyDescent="0.3">
      <c r="A5" s="49" t="s">
        <v>0</v>
      </c>
      <c r="B5" s="49" t="s">
        <v>29</v>
      </c>
      <c r="C5" s="49" t="s">
        <v>30</v>
      </c>
      <c r="D5" s="49" t="s">
        <v>144</v>
      </c>
      <c r="E5" s="50" t="s">
        <v>425</v>
      </c>
      <c r="F5" s="50" t="s">
        <v>423</v>
      </c>
      <c r="G5" s="50" t="s">
        <v>424</v>
      </c>
      <c r="H5" s="50" t="s">
        <v>427</v>
      </c>
      <c r="I5" s="50" t="s">
        <v>426</v>
      </c>
      <c r="J5" s="50" t="s">
        <v>208</v>
      </c>
      <c r="L5" s="49" t="s">
        <v>145</v>
      </c>
      <c r="M5" s="49" t="s">
        <v>146</v>
      </c>
      <c r="Q5" s="417" t="s">
        <v>444</v>
      </c>
    </row>
    <row r="6" spans="1:17" x14ac:dyDescent="0.3">
      <c r="A6" s="1"/>
      <c r="B6" s="51"/>
      <c r="C6" s="51"/>
      <c r="D6" s="52"/>
      <c r="E6" s="51" t="s">
        <v>147</v>
      </c>
      <c r="F6" s="51" t="s">
        <v>148</v>
      </c>
      <c r="G6" s="77" t="s">
        <v>149</v>
      </c>
      <c r="H6" s="77" t="s">
        <v>150</v>
      </c>
      <c r="I6" s="77" t="s">
        <v>151</v>
      </c>
      <c r="J6" s="77"/>
      <c r="Q6" s="418"/>
    </row>
    <row r="7" spans="1:17" x14ac:dyDescent="0.3">
      <c r="A7" s="1"/>
      <c r="B7" s="51"/>
      <c r="C7" s="51"/>
      <c r="D7" s="52"/>
      <c r="E7" s="52"/>
      <c r="F7" s="78" t="s">
        <v>152</v>
      </c>
      <c r="G7" s="4"/>
      <c r="H7" s="78" t="s">
        <v>153</v>
      </c>
      <c r="I7" s="78" t="s">
        <v>154</v>
      </c>
      <c r="Q7" s="422"/>
    </row>
    <row r="8" spans="1:17" ht="15" thickBot="1" x14ac:dyDescent="0.35">
      <c r="A8" s="1"/>
      <c r="B8" s="53"/>
      <c r="C8" s="53"/>
      <c r="D8" s="53"/>
      <c r="E8" s="53"/>
      <c r="F8" s="53"/>
      <c r="G8" s="48"/>
      <c r="H8" s="48"/>
      <c r="I8" s="48"/>
      <c r="Q8" s="422"/>
    </row>
    <row r="9" spans="1:17" x14ac:dyDescent="0.3">
      <c r="A9" s="1"/>
      <c r="B9" s="53"/>
      <c r="C9" s="53"/>
      <c r="D9" s="53"/>
      <c r="E9" s="53"/>
      <c r="F9" s="53"/>
      <c r="G9" s="4"/>
      <c r="H9" s="4"/>
      <c r="I9" s="4"/>
      <c r="J9" s="101" t="s">
        <v>155</v>
      </c>
      <c r="K9" s="74"/>
      <c r="Q9" s="422"/>
    </row>
    <row r="10" spans="1:17" ht="15" thickBot="1" x14ac:dyDescent="0.35">
      <c r="A10" s="1">
        <v>1</v>
      </c>
      <c r="B10" s="79" t="s">
        <v>156</v>
      </c>
      <c r="C10" s="53"/>
      <c r="D10" s="53"/>
      <c r="E10" s="53"/>
      <c r="F10" s="53"/>
      <c r="G10" s="80"/>
      <c r="H10" s="81">
        <f>SUM(H25:H199)</f>
        <v>4291316</v>
      </c>
      <c r="I10" s="81">
        <f>SUM(I25:I199)</f>
        <v>-87490</v>
      </c>
      <c r="J10" s="102">
        <f>+J12+J11</f>
        <v>-2.0493109348689184E-2</v>
      </c>
      <c r="K10" s="74"/>
      <c r="Q10" s="422"/>
    </row>
    <row r="11" spans="1:17" x14ac:dyDescent="0.3">
      <c r="A11" s="1">
        <f>+A10+1</f>
        <v>2</v>
      </c>
      <c r="B11" s="79" t="s">
        <v>157</v>
      </c>
      <c r="C11" s="53"/>
      <c r="D11" s="53"/>
      <c r="E11" s="53"/>
      <c r="F11" s="53"/>
      <c r="G11" s="80"/>
      <c r="I11" s="80">
        <f>+'Peak Credit Spread'!J21</f>
        <v>-87597.310294687966</v>
      </c>
      <c r="J11" s="103">
        <f>+I11/H10</f>
        <v>-2.0412691653256942E-2</v>
      </c>
      <c r="K11" s="74"/>
      <c r="Q11" s="422"/>
    </row>
    <row r="12" spans="1:17" x14ac:dyDescent="0.3">
      <c r="A12" s="1">
        <f t="shared" ref="A12:A76" si="0">+A11+1</f>
        <v>3</v>
      </c>
      <c r="B12" s="54" t="s">
        <v>158</v>
      </c>
      <c r="C12" s="53"/>
      <c r="D12" s="53"/>
      <c r="E12" s="53"/>
      <c r="F12" s="53"/>
      <c r="G12" s="80"/>
      <c r="H12" s="81"/>
      <c r="I12" s="81">
        <f>+I10-I11</f>
        <v>107.31029468796623</v>
      </c>
      <c r="J12" s="111">
        <v>-8.0417695432243421E-5</v>
      </c>
      <c r="K12" s="74"/>
      <c r="Q12" s="422"/>
    </row>
    <row r="13" spans="1:17" x14ac:dyDescent="0.3">
      <c r="A13" s="1">
        <f t="shared" si="0"/>
        <v>4</v>
      </c>
      <c r="B13" s="53"/>
      <c r="C13" s="53"/>
      <c r="D13" s="53"/>
      <c r="E13" s="53"/>
      <c r="F13" s="53"/>
      <c r="G13" s="4"/>
      <c r="H13" s="4"/>
      <c r="I13" s="4"/>
      <c r="K13" s="74"/>
      <c r="Q13" s="422"/>
    </row>
    <row r="14" spans="1:17" x14ac:dyDescent="0.3">
      <c r="A14" s="1">
        <f t="shared" si="0"/>
        <v>5</v>
      </c>
      <c r="B14" s="53" t="s">
        <v>159</v>
      </c>
      <c r="C14" s="53"/>
      <c r="D14" s="53"/>
      <c r="E14" s="53"/>
      <c r="F14" s="53"/>
      <c r="G14" s="48">
        <f>SUM(G25:G34)</f>
        <v>1212</v>
      </c>
      <c r="H14" s="81">
        <f>SUM(H25:H34)</f>
        <v>3649</v>
      </c>
      <c r="I14" s="81">
        <f>SUM(I25:I34)</f>
        <v>-75</v>
      </c>
      <c r="J14" s="81"/>
      <c r="K14" s="74"/>
      <c r="M14" s="75"/>
      <c r="P14" s="48"/>
      <c r="Q14" s="422"/>
    </row>
    <row r="15" spans="1:17" x14ac:dyDescent="0.3">
      <c r="A15" s="1">
        <f t="shared" si="0"/>
        <v>6</v>
      </c>
      <c r="B15" s="53" t="s">
        <v>160</v>
      </c>
      <c r="C15" s="53"/>
      <c r="D15" s="53"/>
      <c r="E15" s="53"/>
      <c r="F15" s="53"/>
      <c r="G15" s="48">
        <f>SUM(G37:G45)</f>
        <v>106733</v>
      </c>
      <c r="H15" s="81">
        <f>SUM(H37:H45)</f>
        <v>185968</v>
      </c>
      <c r="I15" s="81">
        <f>SUM(I37:I45)</f>
        <v>-3826</v>
      </c>
      <c r="J15" s="81"/>
      <c r="K15" s="74"/>
      <c r="M15" s="75"/>
      <c r="P15" s="48"/>
      <c r="Q15" s="422"/>
    </row>
    <row r="16" spans="1:17" x14ac:dyDescent="0.3">
      <c r="A16" s="1">
        <f t="shared" si="0"/>
        <v>7</v>
      </c>
      <c r="B16" s="53" t="s">
        <v>161</v>
      </c>
      <c r="C16" s="53"/>
      <c r="D16" s="53"/>
      <c r="E16" s="53"/>
      <c r="F16" s="53"/>
      <c r="G16" s="48">
        <f>SUM(G48:G63)</f>
        <v>220825</v>
      </c>
      <c r="H16" s="81">
        <f>SUM(H48:H63)</f>
        <v>747325</v>
      </c>
      <c r="I16" s="81">
        <f>SUM(I48:I63)</f>
        <v>-15210</v>
      </c>
      <c r="J16" s="81"/>
      <c r="K16" s="74"/>
      <c r="M16" s="75"/>
      <c r="P16" s="48"/>
      <c r="Q16" s="422"/>
    </row>
    <row r="17" spans="1:17" x14ac:dyDescent="0.3">
      <c r="A17" s="1">
        <f t="shared" si="0"/>
        <v>8</v>
      </c>
      <c r="B17" s="53" t="s">
        <v>162</v>
      </c>
      <c r="G17" s="75">
        <f>SUM(G66:G117)</f>
        <v>897361</v>
      </c>
      <c r="H17" s="104">
        <f>SUM(H66:H117)</f>
        <v>2191157</v>
      </c>
      <c r="I17" s="104">
        <f>SUM(I66:I117)</f>
        <v>-44603</v>
      </c>
      <c r="J17" s="104"/>
      <c r="K17" s="74"/>
      <c r="M17" s="75"/>
      <c r="P17" s="75"/>
      <c r="Q17" s="422"/>
    </row>
    <row r="18" spans="1:17" x14ac:dyDescent="0.3">
      <c r="A18" s="1">
        <f t="shared" si="0"/>
        <v>9</v>
      </c>
      <c r="B18" s="54" t="s">
        <v>163</v>
      </c>
      <c r="G18" s="75">
        <f>SUM(G120:G138)</f>
        <v>111948</v>
      </c>
      <c r="H18" s="104">
        <f>SUM(H120:H138)</f>
        <v>382555</v>
      </c>
      <c r="I18" s="104">
        <f>SUM(I120:I138)</f>
        <v>-7743</v>
      </c>
      <c r="J18" s="104"/>
      <c r="K18" s="74"/>
      <c r="M18" s="75"/>
      <c r="P18" s="75"/>
      <c r="Q18" s="422"/>
    </row>
    <row r="19" spans="1:17" x14ac:dyDescent="0.3">
      <c r="A19" s="1">
        <f t="shared" si="0"/>
        <v>10</v>
      </c>
      <c r="B19" s="54" t="s">
        <v>164</v>
      </c>
      <c r="G19" s="75">
        <f>SUM(G141:G158)</f>
        <v>73367</v>
      </c>
      <c r="H19" s="104">
        <f>SUM(H141:H158)</f>
        <v>212049</v>
      </c>
      <c r="I19" s="104">
        <f>SUM(I141:I158)</f>
        <v>-4362</v>
      </c>
      <c r="J19" s="104"/>
      <c r="K19" s="74"/>
      <c r="M19" s="75"/>
      <c r="P19" s="75"/>
      <c r="Q19" s="422"/>
    </row>
    <row r="20" spans="1:17" x14ac:dyDescent="0.3">
      <c r="A20" s="1">
        <f t="shared" si="0"/>
        <v>11</v>
      </c>
      <c r="B20" s="53" t="s">
        <v>165</v>
      </c>
      <c r="G20" s="75">
        <f>SUM(G161)</f>
        <v>10664502</v>
      </c>
      <c r="H20" s="104">
        <f>SUM(H161)</f>
        <v>431945</v>
      </c>
      <c r="I20" s="104">
        <f>SUM(I161)</f>
        <v>-8852</v>
      </c>
      <c r="J20" s="104"/>
      <c r="K20" s="74"/>
      <c r="M20" s="75"/>
      <c r="P20" s="75"/>
      <c r="Q20" s="422"/>
    </row>
    <row r="21" spans="1:17" x14ac:dyDescent="0.3">
      <c r="A21" s="1">
        <f t="shared" si="0"/>
        <v>12</v>
      </c>
      <c r="B21" s="54" t="s">
        <v>166</v>
      </c>
      <c r="G21" s="75">
        <f>SUM(G164:G199)</f>
        <v>17610</v>
      </c>
      <c r="H21" s="104">
        <f>SUM(H164:H199)</f>
        <v>136668</v>
      </c>
      <c r="I21" s="104">
        <f>SUM(I164:I199)</f>
        <v>-2819</v>
      </c>
      <c r="J21" s="104"/>
      <c r="K21" s="74"/>
      <c r="M21" s="75"/>
      <c r="P21" s="75"/>
      <c r="Q21" s="422"/>
    </row>
    <row r="22" spans="1:17" x14ac:dyDescent="0.3">
      <c r="A22" s="1">
        <f t="shared" si="0"/>
        <v>13</v>
      </c>
      <c r="B22" s="53" t="s">
        <v>167</v>
      </c>
      <c r="G22" s="75">
        <f>SUM(G14:G21)</f>
        <v>12093558</v>
      </c>
      <c r="H22" s="104">
        <f>SUM(H14:H21)</f>
        <v>4291316</v>
      </c>
      <c r="I22" s="104">
        <f>SUM(I14:I21)</f>
        <v>-87490</v>
      </c>
      <c r="J22" s="104"/>
      <c r="K22" s="74"/>
      <c r="M22" s="75"/>
      <c r="P22" s="75"/>
      <c r="Q22" s="422"/>
    </row>
    <row r="23" spans="1:17" x14ac:dyDescent="0.3">
      <c r="A23" s="1">
        <f t="shared" si="0"/>
        <v>14</v>
      </c>
      <c r="B23" s="53"/>
      <c r="C23" s="53"/>
      <c r="D23" s="53"/>
      <c r="E23" s="53"/>
      <c r="F23" s="53"/>
      <c r="G23" s="80"/>
      <c r="H23" s="81"/>
      <c r="I23" s="81"/>
      <c r="K23" s="74"/>
      <c r="Q23" s="422"/>
    </row>
    <row r="24" spans="1:17" x14ac:dyDescent="0.3">
      <c r="A24" s="426">
        <f t="shared" si="0"/>
        <v>15</v>
      </c>
      <c r="B24" s="53" t="s">
        <v>168</v>
      </c>
      <c r="C24" s="53"/>
      <c r="D24" s="53"/>
      <c r="E24" s="53"/>
      <c r="F24" s="53"/>
      <c r="G24" s="4"/>
      <c r="H24" s="4"/>
      <c r="I24" s="4"/>
      <c r="Q24" s="422"/>
    </row>
    <row r="25" spans="1:17" x14ac:dyDescent="0.3">
      <c r="A25" s="426">
        <f t="shared" si="0"/>
        <v>16</v>
      </c>
      <c r="B25" s="55" t="s">
        <v>169</v>
      </c>
      <c r="C25" s="54" t="s">
        <v>170</v>
      </c>
      <c r="D25" s="56">
        <v>22</v>
      </c>
      <c r="E25" s="100">
        <f>SUM(L25:M25)</f>
        <v>0.53</v>
      </c>
      <c r="F25" s="416">
        <f>ROUND(+E25*$J$10,2)</f>
        <v>-0.01</v>
      </c>
      <c r="G25" s="48">
        <v>708</v>
      </c>
      <c r="H25" s="81">
        <f>ROUND($G25*E25,0)</f>
        <v>375</v>
      </c>
      <c r="I25" s="81">
        <f>ROUND($G25*F25,0)</f>
        <v>-7</v>
      </c>
      <c r="K25" s="74"/>
      <c r="L25" s="100">
        <v>0.18</v>
      </c>
      <c r="M25" s="100">
        <v>0.35</v>
      </c>
      <c r="Q25" s="423" t="s">
        <v>443</v>
      </c>
    </row>
    <row r="26" spans="1:17" x14ac:dyDescent="0.3">
      <c r="A26" s="1">
        <f t="shared" si="0"/>
        <v>17</v>
      </c>
      <c r="B26" s="57"/>
      <c r="C26" s="52"/>
      <c r="D26" s="58"/>
      <c r="E26" s="100"/>
      <c r="F26" s="416"/>
      <c r="G26" s="48"/>
      <c r="H26" s="48"/>
      <c r="I26" s="48"/>
      <c r="K26" s="74"/>
      <c r="Q26" s="423"/>
    </row>
    <row r="27" spans="1:17" x14ac:dyDescent="0.3">
      <c r="A27" s="1">
        <f t="shared" si="0"/>
        <v>18</v>
      </c>
      <c r="B27" s="55" t="s">
        <v>171</v>
      </c>
      <c r="C27" s="59" t="s">
        <v>32</v>
      </c>
      <c r="D27" s="60">
        <v>100</v>
      </c>
      <c r="E27" s="100">
        <f t="shared" ref="E27:E34" si="1">SUM(L27:M27)</f>
        <v>2.38</v>
      </c>
      <c r="F27" s="416">
        <f t="shared" ref="F27:F34" si="2">ROUND(+E27*$J$10,2)</f>
        <v>-0.05</v>
      </c>
      <c r="G27" s="48">
        <v>33</v>
      </c>
      <c r="H27" s="81">
        <f t="shared" ref="H27:I34" si="3">ROUND($G27*E27,0)</f>
        <v>79</v>
      </c>
      <c r="I27" s="81">
        <f t="shared" si="3"/>
        <v>-2</v>
      </c>
      <c r="K27" s="74"/>
      <c r="L27" s="100">
        <v>0.81</v>
      </c>
      <c r="M27" s="100">
        <v>1.57</v>
      </c>
      <c r="Q27" s="423" t="s">
        <v>443</v>
      </c>
    </row>
    <row r="28" spans="1:17" x14ac:dyDescent="0.3">
      <c r="A28" s="1">
        <f t="shared" si="0"/>
        <v>19</v>
      </c>
      <c r="B28" s="55" t="str">
        <f>+B27</f>
        <v>50E-A</v>
      </c>
      <c r="C28" s="59" t="str">
        <f>+C27</f>
        <v>Mercury Vapor</v>
      </c>
      <c r="D28" s="60">
        <v>175</v>
      </c>
      <c r="E28" s="100">
        <f t="shared" si="1"/>
        <v>4.16</v>
      </c>
      <c r="F28" s="416">
        <f t="shared" si="2"/>
        <v>-0.09</v>
      </c>
      <c r="G28" s="48">
        <v>228</v>
      </c>
      <c r="H28" s="81">
        <f t="shared" si="3"/>
        <v>948</v>
      </c>
      <c r="I28" s="81">
        <f t="shared" si="3"/>
        <v>-21</v>
      </c>
      <c r="K28" s="74"/>
      <c r="L28" s="100">
        <v>1.41</v>
      </c>
      <c r="M28" s="100">
        <v>2.75</v>
      </c>
      <c r="Q28" s="423" t="s">
        <v>443</v>
      </c>
    </row>
    <row r="29" spans="1:17" x14ac:dyDescent="0.3">
      <c r="A29" s="1">
        <f t="shared" si="0"/>
        <v>20</v>
      </c>
      <c r="B29" s="55" t="str">
        <f>+B28</f>
        <v>50E-A</v>
      </c>
      <c r="C29" s="59" t="str">
        <f>+C28</f>
        <v>Mercury Vapor</v>
      </c>
      <c r="D29" s="60">
        <v>400</v>
      </c>
      <c r="E29" s="100">
        <f t="shared" si="1"/>
        <v>9.51</v>
      </c>
      <c r="F29" s="416">
        <f t="shared" si="2"/>
        <v>-0.19</v>
      </c>
      <c r="G29" s="48">
        <v>231</v>
      </c>
      <c r="H29" s="81">
        <f t="shared" si="3"/>
        <v>2197</v>
      </c>
      <c r="I29" s="81">
        <f t="shared" si="3"/>
        <v>-44</v>
      </c>
      <c r="K29" s="74"/>
      <c r="L29" s="100">
        <v>3.23</v>
      </c>
      <c r="M29" s="100">
        <v>6.28</v>
      </c>
      <c r="Q29" s="423" t="s">
        <v>443</v>
      </c>
    </row>
    <row r="30" spans="1:17" x14ac:dyDescent="0.3">
      <c r="A30" s="333">
        <f t="shared" si="0"/>
        <v>21</v>
      </c>
      <c r="B30" s="55"/>
      <c r="C30" s="59"/>
      <c r="D30" s="60"/>
      <c r="E30" s="100"/>
      <c r="F30" s="416"/>
      <c r="G30" s="48"/>
      <c r="H30" s="81"/>
      <c r="I30" s="81"/>
      <c r="K30" s="74"/>
      <c r="L30" s="100"/>
      <c r="M30" s="100"/>
      <c r="Q30" s="423"/>
    </row>
    <row r="31" spans="1:17" x14ac:dyDescent="0.3">
      <c r="A31" s="333">
        <f t="shared" si="0"/>
        <v>22</v>
      </c>
      <c r="B31" s="55" t="s">
        <v>172</v>
      </c>
      <c r="C31" s="59" t="str">
        <f>+C29</f>
        <v>Mercury Vapor</v>
      </c>
      <c r="D31" s="60">
        <v>100</v>
      </c>
      <c r="E31" s="100">
        <f t="shared" si="1"/>
        <v>2.38</v>
      </c>
      <c r="F31" s="416">
        <f t="shared" si="2"/>
        <v>-0.05</v>
      </c>
      <c r="G31" s="48">
        <v>0</v>
      </c>
      <c r="H31" s="81">
        <f t="shared" si="3"/>
        <v>0</v>
      </c>
      <c r="I31" s="81">
        <f t="shared" si="3"/>
        <v>0</v>
      </c>
      <c r="K31" s="74"/>
      <c r="L31" s="100">
        <v>0.81</v>
      </c>
      <c r="M31" s="100">
        <v>1.57</v>
      </c>
      <c r="Q31" s="423" t="s">
        <v>443</v>
      </c>
    </row>
    <row r="32" spans="1:17" x14ac:dyDescent="0.3">
      <c r="A32" s="333">
        <f t="shared" si="0"/>
        <v>23</v>
      </c>
      <c r="B32" s="55" t="str">
        <f t="shared" ref="B32:C34" si="4">+B31</f>
        <v>50E-B</v>
      </c>
      <c r="C32" s="59" t="str">
        <f t="shared" si="4"/>
        <v>Mercury Vapor</v>
      </c>
      <c r="D32" s="60">
        <v>175</v>
      </c>
      <c r="E32" s="100">
        <f t="shared" si="1"/>
        <v>4.16</v>
      </c>
      <c r="F32" s="416">
        <f t="shared" si="2"/>
        <v>-0.09</v>
      </c>
      <c r="G32" s="48">
        <v>12</v>
      </c>
      <c r="H32" s="81">
        <f t="shared" si="3"/>
        <v>50</v>
      </c>
      <c r="I32" s="81">
        <f t="shared" si="3"/>
        <v>-1</v>
      </c>
      <c r="K32" s="74"/>
      <c r="L32" s="100">
        <v>1.41</v>
      </c>
      <c r="M32" s="100">
        <v>2.75</v>
      </c>
      <c r="Q32" s="423" t="s">
        <v>443</v>
      </c>
    </row>
    <row r="33" spans="1:17" x14ac:dyDescent="0.3">
      <c r="A33" s="1">
        <f t="shared" si="0"/>
        <v>24</v>
      </c>
      <c r="B33" s="55" t="str">
        <f t="shared" si="4"/>
        <v>50E-B</v>
      </c>
      <c r="C33" s="59" t="str">
        <f t="shared" si="4"/>
        <v>Mercury Vapor</v>
      </c>
      <c r="D33" s="60">
        <v>400</v>
      </c>
      <c r="E33" s="100">
        <f t="shared" si="1"/>
        <v>9.51</v>
      </c>
      <c r="F33" s="416">
        <f t="shared" si="2"/>
        <v>-0.19</v>
      </c>
      <c r="G33" s="48">
        <v>0</v>
      </c>
      <c r="H33" s="81">
        <f t="shared" si="3"/>
        <v>0</v>
      </c>
      <c r="I33" s="81">
        <f t="shared" si="3"/>
        <v>0</v>
      </c>
      <c r="K33" s="74"/>
      <c r="L33" s="100">
        <v>3.23</v>
      </c>
      <c r="M33" s="100">
        <v>6.28</v>
      </c>
      <c r="Q33" s="423" t="s">
        <v>443</v>
      </c>
    </row>
    <row r="34" spans="1:17" x14ac:dyDescent="0.3">
      <c r="A34" s="1">
        <f t="shared" si="0"/>
        <v>25</v>
      </c>
      <c r="B34" s="55" t="str">
        <f t="shared" si="4"/>
        <v>50E-B</v>
      </c>
      <c r="C34" s="59" t="str">
        <f t="shared" si="4"/>
        <v>Mercury Vapor</v>
      </c>
      <c r="D34" s="60">
        <v>700</v>
      </c>
      <c r="E34" s="100">
        <f t="shared" si="1"/>
        <v>16.66</v>
      </c>
      <c r="F34" s="416">
        <f t="shared" si="2"/>
        <v>-0.34</v>
      </c>
      <c r="G34" s="48">
        <v>0</v>
      </c>
      <c r="H34" s="81">
        <f t="shared" si="3"/>
        <v>0</v>
      </c>
      <c r="I34" s="81">
        <f t="shared" si="3"/>
        <v>0</v>
      </c>
      <c r="K34" s="74"/>
      <c r="L34" s="100">
        <v>5.66</v>
      </c>
      <c r="M34" s="100">
        <v>11</v>
      </c>
      <c r="Q34" s="423" t="s">
        <v>443</v>
      </c>
    </row>
    <row r="35" spans="1:17" x14ac:dyDescent="0.3">
      <c r="A35" s="1">
        <f t="shared" si="0"/>
        <v>26</v>
      </c>
      <c r="B35" s="61"/>
      <c r="C35" s="62"/>
      <c r="D35" s="53"/>
      <c r="E35" s="100"/>
      <c r="F35" s="416"/>
      <c r="G35" s="48"/>
      <c r="H35" s="48"/>
      <c r="I35" s="48"/>
      <c r="K35" s="74"/>
      <c r="L35" s="100"/>
      <c r="M35" s="100"/>
      <c r="Q35" s="423"/>
    </row>
    <row r="36" spans="1:17" x14ac:dyDescent="0.3">
      <c r="A36" s="1">
        <f t="shared" si="0"/>
        <v>27</v>
      </c>
      <c r="B36" s="61" t="s">
        <v>173</v>
      </c>
      <c r="C36" s="62"/>
      <c r="D36" s="53"/>
      <c r="E36" s="100"/>
      <c r="F36" s="416"/>
      <c r="G36" s="48"/>
      <c r="H36" s="48"/>
      <c r="I36" s="48"/>
      <c r="K36" s="74"/>
      <c r="L36" s="100"/>
      <c r="M36" s="100"/>
      <c r="Q36" s="423"/>
    </row>
    <row r="37" spans="1:17" x14ac:dyDescent="0.3">
      <c r="A37" s="1">
        <f t="shared" si="0"/>
        <v>28</v>
      </c>
      <c r="B37" s="55" t="s">
        <v>174</v>
      </c>
      <c r="C37" s="59" t="s">
        <v>175</v>
      </c>
      <c r="D37" s="60" t="s">
        <v>176</v>
      </c>
      <c r="E37" s="100">
        <f t="shared" ref="E37:E45" si="5">SUM(L37:M37)</f>
        <v>1.0699999999999998</v>
      </c>
      <c r="F37" s="416">
        <f t="shared" ref="F37:F45" si="6">ROUND(+E37*$J$10,2)</f>
        <v>-0.02</v>
      </c>
      <c r="G37" s="48">
        <v>53724</v>
      </c>
      <c r="H37" s="81">
        <f>ROUND($G37*E37,0)</f>
        <v>57485</v>
      </c>
      <c r="I37" s="81">
        <f>ROUND($G37*F37,0)</f>
        <v>-1074</v>
      </c>
      <c r="K37" s="74"/>
      <c r="L37" s="100">
        <v>0.36</v>
      </c>
      <c r="M37" s="100">
        <v>0.71</v>
      </c>
      <c r="Q37" s="423" t="s">
        <v>445</v>
      </c>
    </row>
    <row r="38" spans="1:17" x14ac:dyDescent="0.3">
      <c r="A38" s="1">
        <f t="shared" si="0"/>
        <v>29</v>
      </c>
      <c r="B38" s="55" t="s">
        <v>174</v>
      </c>
      <c r="C38" s="59" t="s">
        <v>175</v>
      </c>
      <c r="D38" s="60" t="s">
        <v>177</v>
      </c>
      <c r="E38" s="100">
        <f t="shared" si="5"/>
        <v>1.79</v>
      </c>
      <c r="F38" s="416">
        <f t="shared" si="6"/>
        <v>-0.04</v>
      </c>
      <c r="G38" s="48">
        <v>29529</v>
      </c>
      <c r="H38" s="81">
        <f>ROUND($G38*E38,0)</f>
        <v>52857</v>
      </c>
      <c r="I38" s="81">
        <f>ROUND($G38*F38,0)</f>
        <v>-1181</v>
      </c>
      <c r="K38" s="74"/>
      <c r="L38" s="100">
        <v>0.61</v>
      </c>
      <c r="M38" s="100">
        <v>1.18</v>
      </c>
      <c r="Q38" s="423" t="s">
        <v>445</v>
      </c>
    </row>
    <row r="39" spans="1:17" x14ac:dyDescent="0.3">
      <c r="A39" s="1">
        <f t="shared" si="0"/>
        <v>30</v>
      </c>
      <c r="B39" s="55" t="s">
        <v>174</v>
      </c>
      <c r="C39" s="59" t="s">
        <v>175</v>
      </c>
      <c r="D39" s="60" t="s">
        <v>178</v>
      </c>
      <c r="E39" s="100">
        <f t="shared" si="5"/>
        <v>2.5</v>
      </c>
      <c r="F39" s="416">
        <f t="shared" si="6"/>
        <v>-0.05</v>
      </c>
      <c r="G39" s="48">
        <v>12657</v>
      </c>
      <c r="H39" s="81">
        <f t="shared" ref="H39:I45" si="7">ROUND($G39*E39,0)</f>
        <v>31643</v>
      </c>
      <c r="I39" s="81">
        <f t="shared" si="7"/>
        <v>-633</v>
      </c>
      <c r="K39" s="74"/>
      <c r="L39" s="100">
        <v>0.85</v>
      </c>
      <c r="M39" s="100">
        <v>1.65</v>
      </c>
      <c r="Q39" s="423" t="s">
        <v>445</v>
      </c>
    </row>
    <row r="40" spans="1:17" x14ac:dyDescent="0.3">
      <c r="A40" s="1">
        <f t="shared" si="0"/>
        <v>31</v>
      </c>
      <c r="B40" s="55" t="s">
        <v>174</v>
      </c>
      <c r="C40" s="59" t="s">
        <v>175</v>
      </c>
      <c r="D40" s="60" t="s">
        <v>179</v>
      </c>
      <c r="E40" s="100">
        <f t="shared" si="5"/>
        <v>3.21</v>
      </c>
      <c r="F40" s="416">
        <f t="shared" si="6"/>
        <v>-7.0000000000000007E-2</v>
      </c>
      <c r="G40" s="48">
        <v>5816</v>
      </c>
      <c r="H40" s="81">
        <f t="shared" si="7"/>
        <v>18669</v>
      </c>
      <c r="I40" s="81">
        <f t="shared" si="7"/>
        <v>-407</v>
      </c>
      <c r="K40" s="74"/>
      <c r="L40" s="100">
        <v>1.0900000000000001</v>
      </c>
      <c r="M40" s="100">
        <v>2.12</v>
      </c>
      <c r="Q40" s="423" t="s">
        <v>445</v>
      </c>
    </row>
    <row r="41" spans="1:17" x14ac:dyDescent="0.3">
      <c r="A41" s="1">
        <f t="shared" si="0"/>
        <v>32</v>
      </c>
      <c r="B41" s="55" t="s">
        <v>174</v>
      </c>
      <c r="C41" s="59" t="s">
        <v>175</v>
      </c>
      <c r="D41" s="60" t="s">
        <v>180</v>
      </c>
      <c r="E41" s="100">
        <f t="shared" si="5"/>
        <v>3.92</v>
      </c>
      <c r="F41" s="416">
        <f t="shared" si="6"/>
        <v>-0.08</v>
      </c>
      <c r="G41" s="48">
        <v>839</v>
      </c>
      <c r="H41" s="81">
        <f t="shared" si="7"/>
        <v>3289</v>
      </c>
      <c r="I41" s="81">
        <f t="shared" si="7"/>
        <v>-67</v>
      </c>
      <c r="K41" s="74"/>
      <c r="L41" s="100">
        <v>1.33</v>
      </c>
      <c r="M41" s="100">
        <v>2.59</v>
      </c>
      <c r="Q41" s="423" t="s">
        <v>445</v>
      </c>
    </row>
    <row r="42" spans="1:17" x14ac:dyDescent="0.3">
      <c r="A42" s="1">
        <f t="shared" si="0"/>
        <v>33</v>
      </c>
      <c r="B42" s="55" t="s">
        <v>174</v>
      </c>
      <c r="C42" s="59" t="s">
        <v>175</v>
      </c>
      <c r="D42" s="60" t="s">
        <v>181</v>
      </c>
      <c r="E42" s="100">
        <f t="shared" si="5"/>
        <v>4.6400000000000006</v>
      </c>
      <c r="F42" s="416">
        <f t="shared" si="6"/>
        <v>-0.1</v>
      </c>
      <c r="G42" s="48">
        <v>2412</v>
      </c>
      <c r="H42" s="81">
        <f t="shared" si="7"/>
        <v>11192</v>
      </c>
      <c r="I42" s="81">
        <f t="shared" si="7"/>
        <v>-241</v>
      </c>
      <c r="K42" s="74"/>
      <c r="L42" s="100">
        <v>1.58</v>
      </c>
      <c r="M42" s="100">
        <v>3.06</v>
      </c>
      <c r="Q42" s="423" t="s">
        <v>445</v>
      </c>
    </row>
    <row r="43" spans="1:17" x14ac:dyDescent="0.3">
      <c r="A43" s="1">
        <f t="shared" si="0"/>
        <v>34</v>
      </c>
      <c r="B43" s="55" t="s">
        <v>174</v>
      </c>
      <c r="C43" s="59" t="s">
        <v>175</v>
      </c>
      <c r="D43" s="60" t="s">
        <v>182</v>
      </c>
      <c r="E43" s="100">
        <f t="shared" si="5"/>
        <v>5.36</v>
      </c>
      <c r="F43" s="416">
        <f t="shared" si="6"/>
        <v>-0.11</v>
      </c>
      <c r="G43" s="48">
        <v>708</v>
      </c>
      <c r="H43" s="81">
        <f t="shared" si="7"/>
        <v>3795</v>
      </c>
      <c r="I43" s="81">
        <f t="shared" si="7"/>
        <v>-78</v>
      </c>
      <c r="K43" s="74"/>
      <c r="L43" s="100">
        <v>1.82</v>
      </c>
      <c r="M43" s="100">
        <v>3.54</v>
      </c>
      <c r="Q43" s="423" t="s">
        <v>445</v>
      </c>
    </row>
    <row r="44" spans="1:17" x14ac:dyDescent="0.3">
      <c r="A44" s="1">
        <f t="shared" si="0"/>
        <v>35</v>
      </c>
      <c r="B44" s="55" t="s">
        <v>174</v>
      </c>
      <c r="C44" s="59" t="s">
        <v>175</v>
      </c>
      <c r="D44" s="60" t="s">
        <v>183</v>
      </c>
      <c r="E44" s="100">
        <f t="shared" si="5"/>
        <v>6.07</v>
      </c>
      <c r="F44" s="416">
        <f t="shared" si="6"/>
        <v>-0.12</v>
      </c>
      <c r="G44" s="48">
        <v>96</v>
      </c>
      <c r="H44" s="81">
        <f t="shared" si="7"/>
        <v>583</v>
      </c>
      <c r="I44" s="81">
        <f t="shared" si="7"/>
        <v>-12</v>
      </c>
      <c r="K44" s="74"/>
      <c r="L44" s="100">
        <v>2.06</v>
      </c>
      <c r="M44" s="100">
        <v>4.01</v>
      </c>
      <c r="Q44" s="423" t="s">
        <v>445</v>
      </c>
    </row>
    <row r="45" spans="1:17" x14ac:dyDescent="0.3">
      <c r="A45" s="1">
        <f t="shared" si="0"/>
        <v>36</v>
      </c>
      <c r="B45" s="55" t="s">
        <v>174</v>
      </c>
      <c r="C45" s="59" t="s">
        <v>175</v>
      </c>
      <c r="D45" s="60" t="s">
        <v>184</v>
      </c>
      <c r="E45" s="100">
        <f t="shared" si="5"/>
        <v>6.78</v>
      </c>
      <c r="F45" s="416">
        <f t="shared" si="6"/>
        <v>-0.14000000000000001</v>
      </c>
      <c r="G45" s="48">
        <v>952</v>
      </c>
      <c r="H45" s="81">
        <f t="shared" si="7"/>
        <v>6455</v>
      </c>
      <c r="I45" s="81">
        <f t="shared" si="7"/>
        <v>-133</v>
      </c>
      <c r="K45" s="74"/>
      <c r="L45" s="100">
        <v>2.2999999999999998</v>
      </c>
      <c r="M45" s="100">
        <v>4.4800000000000004</v>
      </c>
      <c r="Q45" s="423" t="s">
        <v>445</v>
      </c>
    </row>
    <row r="46" spans="1:17" x14ac:dyDescent="0.3">
      <c r="A46" s="1">
        <f t="shared" si="0"/>
        <v>37</v>
      </c>
      <c r="B46" s="61"/>
      <c r="C46" s="53"/>
      <c r="D46" s="53"/>
      <c r="E46" s="100"/>
      <c r="F46" s="416"/>
      <c r="G46" s="48"/>
      <c r="H46" s="48"/>
      <c r="I46" s="48"/>
      <c r="K46" s="74"/>
      <c r="L46" s="100"/>
      <c r="M46" s="100"/>
      <c r="Q46" s="423"/>
    </row>
    <row r="47" spans="1:17" x14ac:dyDescent="0.3">
      <c r="A47" s="1">
        <f t="shared" si="0"/>
        <v>38</v>
      </c>
      <c r="B47" s="61" t="s">
        <v>185</v>
      </c>
      <c r="C47" s="53"/>
      <c r="D47" s="53"/>
      <c r="E47" s="100"/>
      <c r="F47" s="416"/>
      <c r="G47" s="48"/>
      <c r="H47" s="48"/>
      <c r="I47" s="48"/>
      <c r="K47" s="74"/>
      <c r="L47" s="100"/>
      <c r="M47" s="100"/>
      <c r="Q47" s="423"/>
    </row>
    <row r="48" spans="1:17" x14ac:dyDescent="0.3">
      <c r="A48" s="1">
        <f t="shared" si="0"/>
        <v>39</v>
      </c>
      <c r="B48" s="55" t="s">
        <v>186</v>
      </c>
      <c r="C48" s="63" t="s">
        <v>33</v>
      </c>
      <c r="D48" s="63">
        <v>50</v>
      </c>
      <c r="E48" s="100">
        <f t="shared" ref="E48:E55" si="8">SUM(L48:M48)</f>
        <v>1.19</v>
      </c>
      <c r="F48" s="416">
        <f t="shared" ref="F48:F55" si="9">ROUND(+E48*$J$10,2)</f>
        <v>-0.02</v>
      </c>
      <c r="G48" s="48">
        <v>0</v>
      </c>
      <c r="H48" s="81">
        <f t="shared" ref="H48:I55" si="10">ROUND($G48*E48,0)</f>
        <v>0</v>
      </c>
      <c r="I48" s="81">
        <f t="shared" si="10"/>
        <v>0</v>
      </c>
      <c r="K48" s="105"/>
      <c r="L48" s="100">
        <v>0.4</v>
      </c>
      <c r="M48" s="100">
        <v>0.79</v>
      </c>
      <c r="Q48" s="423" t="s">
        <v>446</v>
      </c>
    </row>
    <row r="49" spans="1:17" x14ac:dyDescent="0.3">
      <c r="A49" s="1">
        <f t="shared" si="0"/>
        <v>40</v>
      </c>
      <c r="B49" s="55" t="str">
        <f t="shared" ref="B49:B55" si="11">+B48</f>
        <v xml:space="preserve">52E </v>
      </c>
      <c r="C49" s="63" t="s">
        <v>33</v>
      </c>
      <c r="D49" s="63">
        <v>70</v>
      </c>
      <c r="E49" s="100">
        <f t="shared" si="8"/>
        <v>1.67</v>
      </c>
      <c r="F49" s="416">
        <f t="shared" si="9"/>
        <v>-0.03</v>
      </c>
      <c r="G49" s="48">
        <v>8040</v>
      </c>
      <c r="H49" s="81">
        <f t="shared" si="10"/>
        <v>13427</v>
      </c>
      <c r="I49" s="81">
        <f t="shared" si="10"/>
        <v>-241</v>
      </c>
      <c r="K49" s="105"/>
      <c r="L49" s="100">
        <v>0.56999999999999995</v>
      </c>
      <c r="M49" s="100">
        <v>1.1000000000000001</v>
      </c>
      <c r="Q49" s="423" t="s">
        <v>446</v>
      </c>
    </row>
    <row r="50" spans="1:17" x14ac:dyDescent="0.3">
      <c r="A50" s="1">
        <f t="shared" si="0"/>
        <v>41</v>
      </c>
      <c r="B50" s="55" t="str">
        <f t="shared" si="11"/>
        <v xml:space="preserve">52E </v>
      </c>
      <c r="C50" s="63" t="s">
        <v>33</v>
      </c>
      <c r="D50" s="63">
        <v>100</v>
      </c>
      <c r="E50" s="100">
        <f t="shared" si="8"/>
        <v>2.38</v>
      </c>
      <c r="F50" s="416">
        <f t="shared" si="9"/>
        <v>-0.05</v>
      </c>
      <c r="G50" s="48">
        <v>115013</v>
      </c>
      <c r="H50" s="81">
        <f t="shared" si="10"/>
        <v>273731</v>
      </c>
      <c r="I50" s="81">
        <f t="shared" si="10"/>
        <v>-5751</v>
      </c>
      <c r="K50" s="105"/>
      <c r="L50" s="100">
        <v>0.81</v>
      </c>
      <c r="M50" s="100">
        <v>1.57</v>
      </c>
      <c r="Q50" s="423" t="s">
        <v>446</v>
      </c>
    </row>
    <row r="51" spans="1:17" x14ac:dyDescent="0.3">
      <c r="A51" s="1">
        <f t="shared" si="0"/>
        <v>42</v>
      </c>
      <c r="B51" s="55" t="str">
        <f t="shared" si="11"/>
        <v xml:space="preserve">52E </v>
      </c>
      <c r="C51" s="63" t="s">
        <v>33</v>
      </c>
      <c r="D51" s="63">
        <v>150</v>
      </c>
      <c r="E51" s="100">
        <f t="shared" si="8"/>
        <v>3.57</v>
      </c>
      <c r="F51" s="416">
        <f t="shared" si="9"/>
        <v>-7.0000000000000007E-2</v>
      </c>
      <c r="G51" s="48">
        <v>53709</v>
      </c>
      <c r="H51" s="81">
        <f t="shared" si="10"/>
        <v>191741</v>
      </c>
      <c r="I51" s="81">
        <f t="shared" si="10"/>
        <v>-3760</v>
      </c>
      <c r="K51" s="105"/>
      <c r="L51" s="100">
        <v>1.21</v>
      </c>
      <c r="M51" s="100">
        <v>2.36</v>
      </c>
      <c r="Q51" s="423" t="s">
        <v>446</v>
      </c>
    </row>
    <row r="52" spans="1:17" x14ac:dyDescent="0.3">
      <c r="A52" s="1">
        <f t="shared" si="0"/>
        <v>43</v>
      </c>
      <c r="B52" s="55" t="str">
        <f t="shared" si="11"/>
        <v xml:space="preserve">52E </v>
      </c>
      <c r="C52" s="63" t="s">
        <v>33</v>
      </c>
      <c r="D52" s="63">
        <v>200</v>
      </c>
      <c r="E52" s="100">
        <f t="shared" si="8"/>
        <v>4.76</v>
      </c>
      <c r="F52" s="416">
        <f t="shared" si="9"/>
        <v>-0.1</v>
      </c>
      <c r="G52" s="48">
        <v>11351</v>
      </c>
      <c r="H52" s="81">
        <f t="shared" si="10"/>
        <v>54031</v>
      </c>
      <c r="I52" s="81">
        <f t="shared" si="10"/>
        <v>-1135</v>
      </c>
      <c r="K52" s="105"/>
      <c r="L52" s="100">
        <v>1.62</v>
      </c>
      <c r="M52" s="100">
        <v>3.14</v>
      </c>
      <c r="Q52" s="423" t="s">
        <v>446</v>
      </c>
    </row>
    <row r="53" spans="1:17" x14ac:dyDescent="0.3">
      <c r="A53" s="1">
        <f t="shared" si="0"/>
        <v>44</v>
      </c>
      <c r="B53" s="55" t="str">
        <f t="shared" si="11"/>
        <v xml:space="preserve">52E </v>
      </c>
      <c r="C53" s="63" t="s">
        <v>33</v>
      </c>
      <c r="D53" s="63">
        <v>250</v>
      </c>
      <c r="E53" s="100">
        <f t="shared" si="8"/>
        <v>5.95</v>
      </c>
      <c r="F53" s="416">
        <f t="shared" si="9"/>
        <v>-0.12</v>
      </c>
      <c r="G53" s="48">
        <v>16799</v>
      </c>
      <c r="H53" s="81">
        <f t="shared" si="10"/>
        <v>99954</v>
      </c>
      <c r="I53" s="81">
        <f t="shared" si="10"/>
        <v>-2016</v>
      </c>
      <c r="K53" s="105"/>
      <c r="L53" s="100">
        <v>2.02</v>
      </c>
      <c r="M53" s="100">
        <v>3.93</v>
      </c>
      <c r="Q53" s="423" t="s">
        <v>446</v>
      </c>
    </row>
    <row r="54" spans="1:17" x14ac:dyDescent="0.3">
      <c r="A54" s="1">
        <f t="shared" si="0"/>
        <v>45</v>
      </c>
      <c r="B54" s="55" t="str">
        <f t="shared" si="11"/>
        <v xml:space="preserve">52E </v>
      </c>
      <c r="C54" s="63" t="s">
        <v>33</v>
      </c>
      <c r="D54" s="63">
        <v>310</v>
      </c>
      <c r="E54" s="100">
        <f t="shared" si="8"/>
        <v>7.37</v>
      </c>
      <c r="F54" s="416">
        <f t="shared" si="9"/>
        <v>-0.15</v>
      </c>
      <c r="G54" s="48">
        <v>1692</v>
      </c>
      <c r="H54" s="81">
        <f t="shared" si="10"/>
        <v>12470</v>
      </c>
      <c r="I54" s="81">
        <f t="shared" si="10"/>
        <v>-254</v>
      </c>
      <c r="K54" s="105"/>
      <c r="L54" s="100">
        <v>2.5</v>
      </c>
      <c r="M54" s="100">
        <v>4.87</v>
      </c>
      <c r="Q54" s="423" t="s">
        <v>446</v>
      </c>
    </row>
    <row r="55" spans="1:17" x14ac:dyDescent="0.3">
      <c r="A55" s="1">
        <f t="shared" si="0"/>
        <v>46</v>
      </c>
      <c r="B55" s="55" t="str">
        <f t="shared" si="11"/>
        <v xml:space="preserve">52E </v>
      </c>
      <c r="C55" s="63" t="s">
        <v>33</v>
      </c>
      <c r="D55" s="63">
        <v>400</v>
      </c>
      <c r="E55" s="100">
        <f t="shared" si="8"/>
        <v>9.51</v>
      </c>
      <c r="F55" s="416">
        <f t="shared" si="9"/>
        <v>-0.19</v>
      </c>
      <c r="G55" s="48">
        <v>7055</v>
      </c>
      <c r="H55" s="81">
        <f t="shared" si="10"/>
        <v>67093</v>
      </c>
      <c r="I55" s="81">
        <f t="shared" si="10"/>
        <v>-1340</v>
      </c>
      <c r="K55" s="105"/>
      <c r="L55" s="100">
        <v>3.23</v>
      </c>
      <c r="M55" s="100">
        <v>6.28</v>
      </c>
      <c r="Q55" s="423" t="s">
        <v>446</v>
      </c>
    </row>
    <row r="56" spans="1:17" x14ac:dyDescent="0.3">
      <c r="A56" s="1">
        <f t="shared" si="0"/>
        <v>47</v>
      </c>
      <c r="B56" s="64"/>
      <c r="C56" s="63"/>
      <c r="D56" s="63"/>
      <c r="E56" s="100"/>
      <c r="F56" s="416"/>
      <c r="G56" s="48"/>
      <c r="H56" s="48"/>
      <c r="I56" s="48"/>
      <c r="K56" s="105"/>
      <c r="L56" s="100"/>
      <c r="M56" s="100"/>
      <c r="Q56" s="423"/>
    </row>
    <row r="57" spans="1:17" x14ac:dyDescent="0.3">
      <c r="A57" s="1">
        <f t="shared" si="0"/>
        <v>48</v>
      </c>
      <c r="B57" s="55" t="str">
        <f>+B52</f>
        <v xml:space="preserve">52E </v>
      </c>
      <c r="C57" s="63" t="s">
        <v>187</v>
      </c>
      <c r="D57" s="63">
        <v>70</v>
      </c>
      <c r="E57" s="100">
        <f t="shared" ref="E57:E63" si="12">SUM(L57:M57)</f>
        <v>1.67</v>
      </c>
      <c r="F57" s="416">
        <f t="shared" ref="F57:F63" si="13">ROUND(+E57*$J$10,2)</f>
        <v>-0.03</v>
      </c>
      <c r="G57" s="48">
        <v>840</v>
      </c>
      <c r="H57" s="81">
        <f t="shared" ref="H57:I63" si="14">ROUND($G57*E57,0)</f>
        <v>1403</v>
      </c>
      <c r="I57" s="81">
        <f t="shared" si="14"/>
        <v>-25</v>
      </c>
      <c r="K57" s="105"/>
      <c r="L57" s="100">
        <v>0.56999999999999995</v>
      </c>
      <c r="M57" s="100">
        <v>1.1000000000000001</v>
      </c>
      <c r="Q57" s="423" t="s">
        <v>446</v>
      </c>
    </row>
    <row r="58" spans="1:17" x14ac:dyDescent="0.3">
      <c r="A58" s="1">
        <f t="shared" si="0"/>
        <v>49</v>
      </c>
      <c r="B58" s="55" t="str">
        <f>+B53</f>
        <v xml:space="preserve">52E </v>
      </c>
      <c r="C58" s="63" t="s">
        <v>187</v>
      </c>
      <c r="D58" s="63">
        <v>100</v>
      </c>
      <c r="E58" s="100">
        <f t="shared" si="12"/>
        <v>2.38</v>
      </c>
      <c r="F58" s="416">
        <f t="shared" si="13"/>
        <v>-0.05</v>
      </c>
      <c r="G58" s="48">
        <v>52</v>
      </c>
      <c r="H58" s="81">
        <f t="shared" si="14"/>
        <v>124</v>
      </c>
      <c r="I58" s="81">
        <f t="shared" si="14"/>
        <v>-3</v>
      </c>
      <c r="K58" s="105"/>
      <c r="L58" s="100">
        <v>0.81</v>
      </c>
      <c r="M58" s="100">
        <v>1.57</v>
      </c>
      <c r="Q58" s="423" t="s">
        <v>446</v>
      </c>
    </row>
    <row r="59" spans="1:17" x14ac:dyDescent="0.3">
      <c r="A59" s="1">
        <f t="shared" si="0"/>
        <v>50</v>
      </c>
      <c r="B59" s="55" t="str">
        <f>+B54</f>
        <v xml:space="preserve">52E </v>
      </c>
      <c r="C59" s="63" t="s">
        <v>187</v>
      </c>
      <c r="D59" s="63">
        <v>150</v>
      </c>
      <c r="E59" s="100">
        <f t="shared" si="12"/>
        <v>3.57</v>
      </c>
      <c r="F59" s="416">
        <f t="shared" si="13"/>
        <v>-7.0000000000000007E-2</v>
      </c>
      <c r="G59" s="48">
        <v>2410</v>
      </c>
      <c r="H59" s="81">
        <f t="shared" si="14"/>
        <v>8604</v>
      </c>
      <c r="I59" s="81">
        <f t="shared" si="14"/>
        <v>-169</v>
      </c>
      <c r="K59" s="105"/>
      <c r="L59" s="100">
        <v>1.21</v>
      </c>
      <c r="M59" s="100">
        <v>2.36</v>
      </c>
      <c r="Q59" s="423" t="s">
        <v>446</v>
      </c>
    </row>
    <row r="60" spans="1:17" x14ac:dyDescent="0.3">
      <c r="A60" s="1">
        <f t="shared" si="0"/>
        <v>51</v>
      </c>
      <c r="B60" s="55" t="str">
        <f>+B55</f>
        <v xml:space="preserve">52E </v>
      </c>
      <c r="C60" s="63" t="s">
        <v>187</v>
      </c>
      <c r="D60" s="63">
        <v>175</v>
      </c>
      <c r="E60" s="100">
        <f t="shared" si="12"/>
        <v>4.16</v>
      </c>
      <c r="F60" s="416">
        <f t="shared" si="13"/>
        <v>-0.09</v>
      </c>
      <c r="G60" s="48">
        <v>2532</v>
      </c>
      <c r="H60" s="81">
        <f t="shared" si="14"/>
        <v>10533</v>
      </c>
      <c r="I60" s="81">
        <f t="shared" si="14"/>
        <v>-228</v>
      </c>
      <c r="K60" s="105"/>
      <c r="L60" s="100">
        <v>1.41</v>
      </c>
      <c r="M60" s="100">
        <v>2.75</v>
      </c>
      <c r="Q60" s="423" t="s">
        <v>446</v>
      </c>
    </row>
    <row r="61" spans="1:17" x14ac:dyDescent="0.3">
      <c r="A61" s="1">
        <f t="shared" si="0"/>
        <v>52</v>
      </c>
      <c r="B61" s="55" t="str">
        <f t="shared" ref="B61:C63" si="15">+B60</f>
        <v xml:space="preserve">52E </v>
      </c>
      <c r="C61" s="63" t="str">
        <f t="shared" si="15"/>
        <v>Metal Halide</v>
      </c>
      <c r="D61" s="63">
        <v>250</v>
      </c>
      <c r="E61" s="100">
        <f t="shared" si="12"/>
        <v>5.95</v>
      </c>
      <c r="F61" s="416">
        <f t="shared" si="13"/>
        <v>-0.12</v>
      </c>
      <c r="G61" s="48">
        <v>432</v>
      </c>
      <c r="H61" s="81">
        <f t="shared" si="14"/>
        <v>2570</v>
      </c>
      <c r="I61" s="81">
        <f t="shared" si="14"/>
        <v>-52</v>
      </c>
      <c r="K61" s="105"/>
      <c r="L61" s="100">
        <v>2.02</v>
      </c>
      <c r="M61" s="100">
        <v>3.93</v>
      </c>
      <c r="Q61" s="423" t="s">
        <v>446</v>
      </c>
    </row>
    <row r="62" spans="1:17" x14ac:dyDescent="0.3">
      <c r="A62" s="1">
        <f t="shared" si="0"/>
        <v>53</v>
      </c>
      <c r="B62" s="55" t="str">
        <f t="shared" si="15"/>
        <v xml:space="preserve">52E </v>
      </c>
      <c r="C62" s="63" t="str">
        <f t="shared" si="15"/>
        <v>Metal Halide</v>
      </c>
      <c r="D62" s="63">
        <v>400</v>
      </c>
      <c r="E62" s="100">
        <f t="shared" si="12"/>
        <v>9.51</v>
      </c>
      <c r="F62" s="416">
        <f t="shared" si="13"/>
        <v>-0.19</v>
      </c>
      <c r="G62" s="48">
        <v>684</v>
      </c>
      <c r="H62" s="81">
        <f t="shared" si="14"/>
        <v>6505</v>
      </c>
      <c r="I62" s="81">
        <f t="shared" si="14"/>
        <v>-130</v>
      </c>
      <c r="K62" s="105"/>
      <c r="L62" s="100">
        <v>3.23</v>
      </c>
      <c r="M62" s="100">
        <v>6.28</v>
      </c>
      <c r="Q62" s="423" t="s">
        <v>446</v>
      </c>
    </row>
    <row r="63" spans="1:17" x14ac:dyDescent="0.3">
      <c r="A63" s="1">
        <f t="shared" si="0"/>
        <v>54</v>
      </c>
      <c r="B63" s="55" t="str">
        <f t="shared" si="15"/>
        <v xml:space="preserve">52E </v>
      </c>
      <c r="C63" s="63" t="str">
        <f t="shared" si="15"/>
        <v>Metal Halide</v>
      </c>
      <c r="D63" s="63">
        <v>1000</v>
      </c>
      <c r="E63" s="100">
        <f t="shared" si="12"/>
        <v>23.79</v>
      </c>
      <c r="F63" s="416">
        <f t="shared" si="13"/>
        <v>-0.49</v>
      </c>
      <c r="G63" s="48">
        <v>216</v>
      </c>
      <c r="H63" s="81">
        <f t="shared" si="14"/>
        <v>5139</v>
      </c>
      <c r="I63" s="81">
        <f t="shared" si="14"/>
        <v>-106</v>
      </c>
      <c r="K63" s="105"/>
      <c r="L63" s="100">
        <v>8.08</v>
      </c>
      <c r="M63" s="100">
        <v>15.71</v>
      </c>
      <c r="Q63" s="423" t="s">
        <v>446</v>
      </c>
    </row>
    <row r="64" spans="1:17" x14ac:dyDescent="0.3">
      <c r="A64" s="1">
        <f t="shared" si="0"/>
        <v>55</v>
      </c>
      <c r="B64" s="61"/>
      <c r="C64" s="53"/>
      <c r="D64" s="53"/>
      <c r="E64" s="100"/>
      <c r="F64" s="416"/>
      <c r="G64" s="48"/>
      <c r="H64" s="48"/>
      <c r="I64" s="48"/>
      <c r="K64" s="105"/>
      <c r="L64" s="100"/>
      <c r="M64" s="100"/>
      <c r="Q64" s="423"/>
    </row>
    <row r="65" spans="1:17" x14ac:dyDescent="0.3">
      <c r="A65" s="1">
        <f t="shared" si="0"/>
        <v>56</v>
      </c>
      <c r="B65" s="61" t="s">
        <v>188</v>
      </c>
      <c r="C65" s="53"/>
      <c r="D65" s="53"/>
      <c r="E65" s="100"/>
      <c r="F65" s="416"/>
      <c r="G65" s="48"/>
      <c r="H65" s="48"/>
      <c r="I65" s="48"/>
      <c r="K65" s="105"/>
      <c r="L65" s="100"/>
      <c r="M65" s="100"/>
      <c r="Q65" s="423"/>
    </row>
    <row r="66" spans="1:17" x14ac:dyDescent="0.3">
      <c r="A66" s="1">
        <f t="shared" si="0"/>
        <v>57</v>
      </c>
      <c r="B66" s="55" t="s">
        <v>189</v>
      </c>
      <c r="C66" s="63" t="s">
        <v>33</v>
      </c>
      <c r="D66" s="63">
        <v>50</v>
      </c>
      <c r="E66" s="100">
        <f t="shared" ref="E66:E74" si="16">SUM(L66:M66)</f>
        <v>1.19</v>
      </c>
      <c r="F66" s="416">
        <f t="shared" ref="F66:F74" si="17">ROUND(+E66*$J$10,2)</f>
        <v>-0.02</v>
      </c>
      <c r="G66" s="48">
        <v>0</v>
      </c>
      <c r="H66" s="81">
        <f t="shared" ref="H66:I74" si="18">ROUND($G66*E66,0)</f>
        <v>0</v>
      </c>
      <c r="I66" s="81">
        <f t="shared" si="18"/>
        <v>0</v>
      </c>
      <c r="K66" s="105"/>
      <c r="L66" s="100">
        <v>0.4</v>
      </c>
      <c r="M66" s="100">
        <v>0.79</v>
      </c>
      <c r="Q66" s="423" t="s">
        <v>446</v>
      </c>
    </row>
    <row r="67" spans="1:17" x14ac:dyDescent="0.3">
      <c r="A67" s="1">
        <f t="shared" si="0"/>
        <v>58</v>
      </c>
      <c r="B67" s="55" t="str">
        <f t="shared" ref="B67:B74" si="19">+B66</f>
        <v>53E - Company Owned</v>
      </c>
      <c r="C67" s="63" t="s">
        <v>33</v>
      </c>
      <c r="D67" s="63">
        <v>70</v>
      </c>
      <c r="E67" s="100">
        <f t="shared" si="16"/>
        <v>1.67</v>
      </c>
      <c r="F67" s="416">
        <f t="shared" si="17"/>
        <v>-0.03</v>
      </c>
      <c r="G67" s="48">
        <v>44242</v>
      </c>
      <c r="H67" s="81">
        <f t="shared" si="18"/>
        <v>73884</v>
      </c>
      <c r="I67" s="81">
        <f t="shared" si="18"/>
        <v>-1327</v>
      </c>
      <c r="K67" s="105"/>
      <c r="L67" s="100">
        <v>0.56999999999999995</v>
      </c>
      <c r="M67" s="100">
        <v>1.1000000000000001</v>
      </c>
      <c r="Q67" s="423" t="s">
        <v>446</v>
      </c>
    </row>
    <row r="68" spans="1:17" x14ac:dyDescent="0.3">
      <c r="A68" s="1">
        <f t="shared" si="0"/>
        <v>59</v>
      </c>
      <c r="B68" s="55" t="str">
        <f t="shared" si="19"/>
        <v>53E - Company Owned</v>
      </c>
      <c r="C68" s="63" t="s">
        <v>33</v>
      </c>
      <c r="D68" s="63">
        <v>100</v>
      </c>
      <c r="E68" s="100">
        <f t="shared" si="16"/>
        <v>2.38</v>
      </c>
      <c r="F68" s="416">
        <f t="shared" si="17"/>
        <v>-0.05</v>
      </c>
      <c r="G68" s="48">
        <v>334903</v>
      </c>
      <c r="H68" s="81">
        <f t="shared" si="18"/>
        <v>797069</v>
      </c>
      <c r="I68" s="81">
        <f t="shared" si="18"/>
        <v>-16745</v>
      </c>
      <c r="K68" s="105"/>
      <c r="L68" s="100">
        <v>0.81</v>
      </c>
      <c r="M68" s="100">
        <v>1.57</v>
      </c>
      <c r="Q68" s="423" t="s">
        <v>446</v>
      </c>
    </row>
    <row r="69" spans="1:17" x14ac:dyDescent="0.3">
      <c r="A69" s="1">
        <f t="shared" si="0"/>
        <v>60</v>
      </c>
      <c r="B69" s="55" t="str">
        <f t="shared" si="19"/>
        <v>53E - Company Owned</v>
      </c>
      <c r="C69" s="63" t="s">
        <v>33</v>
      </c>
      <c r="D69" s="63">
        <v>150</v>
      </c>
      <c r="E69" s="100">
        <f>SUM(L69:M69)</f>
        <v>3.57</v>
      </c>
      <c r="F69" s="416">
        <f>ROUND(+E69*$J$10,2)</f>
        <v>-7.0000000000000007E-2</v>
      </c>
      <c r="G69" s="48">
        <v>41841</v>
      </c>
      <c r="H69" s="81">
        <f t="shared" si="18"/>
        <v>149372</v>
      </c>
      <c r="I69" s="81">
        <f t="shared" si="18"/>
        <v>-2929</v>
      </c>
      <c r="K69" s="105"/>
      <c r="L69" s="100">
        <v>1.21</v>
      </c>
      <c r="M69" s="100">
        <v>2.36</v>
      </c>
      <c r="Q69" s="423" t="s">
        <v>446</v>
      </c>
    </row>
    <row r="70" spans="1:17" x14ac:dyDescent="0.3">
      <c r="A70" s="1">
        <f t="shared" si="0"/>
        <v>61</v>
      </c>
      <c r="B70" s="55" t="str">
        <f t="shared" si="19"/>
        <v>53E - Company Owned</v>
      </c>
      <c r="C70" s="63" t="s">
        <v>33</v>
      </c>
      <c r="D70" s="63">
        <v>200</v>
      </c>
      <c r="E70" s="100">
        <f t="shared" si="16"/>
        <v>4.76</v>
      </c>
      <c r="F70" s="416">
        <f t="shared" si="17"/>
        <v>-0.1</v>
      </c>
      <c r="G70" s="48">
        <v>52094</v>
      </c>
      <c r="H70" s="81">
        <f t="shared" si="18"/>
        <v>247967</v>
      </c>
      <c r="I70" s="81">
        <f t="shared" si="18"/>
        <v>-5209</v>
      </c>
      <c r="K70" s="105"/>
      <c r="L70" s="100">
        <v>1.62</v>
      </c>
      <c r="M70" s="100">
        <v>3.14</v>
      </c>
      <c r="Q70" s="423" t="s">
        <v>446</v>
      </c>
    </row>
    <row r="71" spans="1:17" x14ac:dyDescent="0.3">
      <c r="A71" s="1">
        <f t="shared" si="0"/>
        <v>62</v>
      </c>
      <c r="B71" s="55" t="str">
        <f t="shared" si="19"/>
        <v>53E - Company Owned</v>
      </c>
      <c r="C71" s="63" t="s">
        <v>33</v>
      </c>
      <c r="D71" s="63">
        <v>250</v>
      </c>
      <c r="E71" s="100">
        <f t="shared" si="16"/>
        <v>5.95</v>
      </c>
      <c r="F71" s="416">
        <f t="shared" si="17"/>
        <v>-0.12</v>
      </c>
      <c r="G71" s="48">
        <v>19368</v>
      </c>
      <c r="H71" s="81">
        <f t="shared" si="18"/>
        <v>115240</v>
      </c>
      <c r="I71" s="81">
        <f t="shared" si="18"/>
        <v>-2324</v>
      </c>
      <c r="K71" s="105"/>
      <c r="L71" s="100">
        <v>2.02</v>
      </c>
      <c r="M71" s="100">
        <v>3.93</v>
      </c>
      <c r="Q71" s="423" t="s">
        <v>446</v>
      </c>
    </row>
    <row r="72" spans="1:17" x14ac:dyDescent="0.3">
      <c r="A72" s="1">
        <f t="shared" si="0"/>
        <v>63</v>
      </c>
      <c r="B72" s="55" t="str">
        <f t="shared" si="19"/>
        <v>53E - Company Owned</v>
      </c>
      <c r="C72" s="63" t="s">
        <v>33</v>
      </c>
      <c r="D72" s="63">
        <v>310</v>
      </c>
      <c r="E72" s="100">
        <f t="shared" si="16"/>
        <v>7.37</v>
      </c>
      <c r="F72" s="416">
        <f t="shared" si="17"/>
        <v>-0.15</v>
      </c>
      <c r="G72" s="48">
        <v>181</v>
      </c>
      <c r="H72" s="81">
        <f t="shared" si="18"/>
        <v>1334</v>
      </c>
      <c r="I72" s="81">
        <f t="shared" si="18"/>
        <v>-27</v>
      </c>
      <c r="K72" s="105"/>
      <c r="L72" s="100">
        <v>2.5</v>
      </c>
      <c r="M72" s="100">
        <v>4.87</v>
      </c>
      <c r="Q72" s="423" t="s">
        <v>446</v>
      </c>
    </row>
    <row r="73" spans="1:17" x14ac:dyDescent="0.3">
      <c r="A73" s="1">
        <f t="shared" si="0"/>
        <v>64</v>
      </c>
      <c r="B73" s="55" t="str">
        <f t="shared" si="19"/>
        <v>53E - Company Owned</v>
      </c>
      <c r="C73" s="63" t="s">
        <v>33</v>
      </c>
      <c r="D73" s="63">
        <v>400</v>
      </c>
      <c r="E73" s="100">
        <f t="shared" si="16"/>
        <v>9.51</v>
      </c>
      <c r="F73" s="416">
        <f t="shared" si="17"/>
        <v>-0.19</v>
      </c>
      <c r="G73" s="48">
        <v>10691</v>
      </c>
      <c r="H73" s="81">
        <f t="shared" si="18"/>
        <v>101671</v>
      </c>
      <c r="I73" s="81">
        <f t="shared" si="18"/>
        <v>-2031</v>
      </c>
      <c r="K73" s="105"/>
      <c r="L73" s="100">
        <v>3.23</v>
      </c>
      <c r="M73" s="100">
        <v>6.28</v>
      </c>
      <c r="Q73" s="423" t="s">
        <v>446</v>
      </c>
    </row>
    <row r="74" spans="1:17" x14ac:dyDescent="0.3">
      <c r="A74" s="1">
        <f t="shared" si="0"/>
        <v>65</v>
      </c>
      <c r="B74" s="55" t="str">
        <f t="shared" si="19"/>
        <v>53E - Company Owned</v>
      </c>
      <c r="C74" s="63" t="s">
        <v>33</v>
      </c>
      <c r="D74" s="63">
        <v>1000</v>
      </c>
      <c r="E74" s="100">
        <f t="shared" si="16"/>
        <v>23.79</v>
      </c>
      <c r="F74" s="416">
        <f t="shared" si="17"/>
        <v>-0.49</v>
      </c>
      <c r="G74" s="48">
        <v>0</v>
      </c>
      <c r="H74" s="81">
        <f t="shared" si="18"/>
        <v>0</v>
      </c>
      <c r="I74" s="81">
        <f t="shared" si="18"/>
        <v>0</v>
      </c>
      <c r="K74" s="105"/>
      <c r="L74" s="100">
        <v>8.08</v>
      </c>
      <c r="M74" s="100">
        <v>15.71</v>
      </c>
      <c r="Q74" s="423" t="s">
        <v>446</v>
      </c>
    </row>
    <row r="75" spans="1:17" x14ac:dyDescent="0.3">
      <c r="A75" s="1">
        <f t="shared" si="0"/>
        <v>66</v>
      </c>
      <c r="B75" s="55"/>
      <c r="C75" s="63"/>
      <c r="D75" s="63"/>
      <c r="E75" s="100"/>
      <c r="F75" s="416"/>
      <c r="G75" s="48"/>
      <c r="H75" s="48"/>
      <c r="I75" s="48"/>
      <c r="K75" s="105"/>
      <c r="L75" s="100"/>
      <c r="M75" s="100"/>
      <c r="Q75" s="423"/>
    </row>
    <row r="76" spans="1:17" x14ac:dyDescent="0.3">
      <c r="A76" s="1">
        <f t="shared" si="0"/>
        <v>67</v>
      </c>
      <c r="B76" s="55" t="str">
        <f>+B74</f>
        <v>53E - Company Owned</v>
      </c>
      <c r="C76" s="63" t="s">
        <v>187</v>
      </c>
      <c r="D76" s="63">
        <v>70</v>
      </c>
      <c r="E76" s="100">
        <f t="shared" ref="E76:E80" si="20">SUM(L76:M76)</f>
        <v>1.67</v>
      </c>
      <c r="F76" s="416">
        <f>ROUND(+E76*$J$10,2)</f>
        <v>-0.03</v>
      </c>
      <c r="G76" s="48">
        <v>0</v>
      </c>
      <c r="H76" s="81">
        <f t="shared" ref="H76:I80" si="21">ROUND($G76*E76,0)</f>
        <v>0</v>
      </c>
      <c r="I76" s="81">
        <f t="shared" si="21"/>
        <v>0</v>
      </c>
      <c r="K76" s="105"/>
      <c r="L76" s="100">
        <v>0.56999999999999995</v>
      </c>
      <c r="M76" s="100">
        <v>1.1000000000000001</v>
      </c>
      <c r="Q76" s="423" t="s">
        <v>447</v>
      </c>
    </row>
    <row r="77" spans="1:17" x14ac:dyDescent="0.3">
      <c r="A77" s="1">
        <f t="shared" ref="A77:A139" si="22">+A76+1</f>
        <v>68</v>
      </c>
      <c r="B77" s="55" t="str">
        <f>+B76</f>
        <v>53E - Company Owned</v>
      </c>
      <c r="C77" s="63" t="s">
        <v>187</v>
      </c>
      <c r="D77" s="63">
        <v>100</v>
      </c>
      <c r="E77" s="100">
        <f t="shared" si="20"/>
        <v>2.38</v>
      </c>
      <c r="F77" s="416">
        <f>ROUND(+E77*$J$10,2)</f>
        <v>-0.05</v>
      </c>
      <c r="G77" s="48">
        <v>0</v>
      </c>
      <c r="H77" s="81">
        <f t="shared" si="21"/>
        <v>0</v>
      </c>
      <c r="I77" s="81">
        <f t="shared" si="21"/>
        <v>0</v>
      </c>
      <c r="K77" s="105"/>
      <c r="L77" s="100">
        <v>0.81</v>
      </c>
      <c r="M77" s="100">
        <v>1.57</v>
      </c>
      <c r="Q77" s="423" t="s">
        <v>447</v>
      </c>
    </row>
    <row r="78" spans="1:17" x14ac:dyDescent="0.3">
      <c r="A78" s="1">
        <f t="shared" si="22"/>
        <v>69</v>
      </c>
      <c r="B78" s="55" t="str">
        <f>+B77</f>
        <v>53E - Company Owned</v>
      </c>
      <c r="C78" s="63" t="s">
        <v>187</v>
      </c>
      <c r="D78" s="63">
        <v>150</v>
      </c>
      <c r="E78" s="100">
        <f t="shared" si="20"/>
        <v>3.57</v>
      </c>
      <c r="F78" s="416">
        <f>ROUND(+E78*$J$10,2)</f>
        <v>-7.0000000000000007E-2</v>
      </c>
      <c r="G78" s="48">
        <v>0</v>
      </c>
      <c r="H78" s="81">
        <f t="shared" si="21"/>
        <v>0</v>
      </c>
      <c r="I78" s="81">
        <f t="shared" si="21"/>
        <v>0</v>
      </c>
      <c r="K78" s="105"/>
      <c r="L78" s="100">
        <v>1.21</v>
      </c>
      <c r="M78" s="100">
        <v>2.36</v>
      </c>
      <c r="Q78" s="423" t="s">
        <v>447</v>
      </c>
    </row>
    <row r="79" spans="1:17" x14ac:dyDescent="0.3">
      <c r="A79" s="1">
        <f t="shared" si="22"/>
        <v>70</v>
      </c>
      <c r="B79" s="55" t="str">
        <f>B78</f>
        <v>53E - Company Owned</v>
      </c>
      <c r="C79" s="63" t="s">
        <v>187</v>
      </c>
      <c r="D79" s="63">
        <v>250</v>
      </c>
      <c r="E79" s="100">
        <f t="shared" si="20"/>
        <v>5.95</v>
      </c>
      <c r="F79" s="416">
        <f>ROUND(+E79*$J$10,2)</f>
        <v>-0.12</v>
      </c>
      <c r="G79" s="48">
        <v>0</v>
      </c>
      <c r="H79" s="81">
        <f t="shared" si="21"/>
        <v>0</v>
      </c>
      <c r="I79" s="81">
        <f t="shared" si="21"/>
        <v>0</v>
      </c>
      <c r="K79" s="105"/>
      <c r="L79" s="100">
        <v>2.02</v>
      </c>
      <c r="M79" s="100">
        <v>3.93</v>
      </c>
      <c r="Q79" s="423" t="s">
        <v>447</v>
      </c>
    </row>
    <row r="80" spans="1:17" x14ac:dyDescent="0.3">
      <c r="A80" s="1">
        <f t="shared" si="22"/>
        <v>71</v>
      </c>
      <c r="B80" s="55" t="str">
        <f>B79</f>
        <v>53E - Company Owned</v>
      </c>
      <c r="C80" s="63" t="s">
        <v>187</v>
      </c>
      <c r="D80" s="63">
        <v>400</v>
      </c>
      <c r="E80" s="100">
        <f t="shared" si="20"/>
        <v>9.51</v>
      </c>
      <c r="F80" s="416">
        <f>ROUND(+E80*$J$10,2)</f>
        <v>-0.19</v>
      </c>
      <c r="G80" s="48">
        <v>0</v>
      </c>
      <c r="H80" s="81">
        <f t="shared" si="21"/>
        <v>0</v>
      </c>
      <c r="I80" s="81">
        <f t="shared" si="21"/>
        <v>0</v>
      </c>
      <c r="K80" s="105"/>
      <c r="L80" s="100">
        <v>3.23</v>
      </c>
      <c r="M80" s="100">
        <v>6.28</v>
      </c>
      <c r="Q80" s="423" t="s">
        <v>447</v>
      </c>
    </row>
    <row r="81" spans="1:17" x14ac:dyDescent="0.3">
      <c r="A81" s="1">
        <f t="shared" si="22"/>
        <v>72</v>
      </c>
      <c r="B81" s="55"/>
      <c r="C81" s="63"/>
      <c r="D81" s="63"/>
      <c r="E81" s="100"/>
      <c r="F81" s="416"/>
      <c r="G81" s="48"/>
      <c r="H81" s="48"/>
      <c r="I81" s="48"/>
      <c r="K81" s="105"/>
      <c r="L81" s="100"/>
      <c r="M81" s="100"/>
      <c r="Q81" s="423"/>
    </row>
    <row r="82" spans="1:17" x14ac:dyDescent="0.3">
      <c r="A82" s="1">
        <f t="shared" si="22"/>
        <v>73</v>
      </c>
      <c r="B82" s="55" t="str">
        <f>+B80</f>
        <v>53E - Company Owned</v>
      </c>
      <c r="C82" s="63" t="s">
        <v>175</v>
      </c>
      <c r="D82" s="60" t="s">
        <v>176</v>
      </c>
      <c r="E82" s="100">
        <f t="shared" ref="E82:E90" si="23">SUM(L82:M82)</f>
        <v>1.0699999999999998</v>
      </c>
      <c r="F82" s="416">
        <f t="shared" ref="F82:F90" si="24">ROUND(+E82*$J$10,2)</f>
        <v>-0.02</v>
      </c>
      <c r="G82" s="48">
        <v>265325</v>
      </c>
      <c r="H82" s="81">
        <f t="shared" ref="H82:I90" si="25">ROUND($G82*E82,0)</f>
        <v>283898</v>
      </c>
      <c r="I82" s="81">
        <f t="shared" si="25"/>
        <v>-5307</v>
      </c>
      <c r="K82" s="105"/>
      <c r="L82" s="100">
        <v>0.36</v>
      </c>
      <c r="M82" s="100">
        <v>0.71</v>
      </c>
      <c r="Q82" s="423" t="s">
        <v>445</v>
      </c>
    </row>
    <row r="83" spans="1:17" x14ac:dyDescent="0.3">
      <c r="A83" s="1">
        <f t="shared" si="22"/>
        <v>74</v>
      </c>
      <c r="B83" s="55" t="str">
        <f t="shared" ref="B83:B90" si="26">B82</f>
        <v>53E - Company Owned</v>
      </c>
      <c r="C83" s="63" t="s">
        <v>175</v>
      </c>
      <c r="D83" s="60" t="s">
        <v>177</v>
      </c>
      <c r="E83" s="100">
        <f t="shared" si="23"/>
        <v>1.79</v>
      </c>
      <c r="F83" s="416">
        <f t="shared" si="24"/>
        <v>-0.04</v>
      </c>
      <c r="G83" s="48">
        <v>5574</v>
      </c>
      <c r="H83" s="81">
        <f t="shared" si="25"/>
        <v>9977</v>
      </c>
      <c r="I83" s="81">
        <f t="shared" si="25"/>
        <v>-223</v>
      </c>
      <c r="K83" s="105"/>
      <c r="L83" s="100">
        <v>0.61</v>
      </c>
      <c r="M83" s="100">
        <v>1.18</v>
      </c>
      <c r="Q83" s="423" t="s">
        <v>445</v>
      </c>
    </row>
    <row r="84" spans="1:17" x14ac:dyDescent="0.3">
      <c r="A84" s="1">
        <f t="shared" si="22"/>
        <v>75</v>
      </c>
      <c r="B84" s="55" t="str">
        <f t="shared" si="26"/>
        <v>53E - Company Owned</v>
      </c>
      <c r="C84" s="63" t="s">
        <v>175</v>
      </c>
      <c r="D84" s="60" t="s">
        <v>178</v>
      </c>
      <c r="E84" s="100">
        <f t="shared" si="23"/>
        <v>2.5</v>
      </c>
      <c r="F84" s="416">
        <f t="shared" si="24"/>
        <v>-0.05</v>
      </c>
      <c r="G84" s="48">
        <v>30163</v>
      </c>
      <c r="H84" s="81">
        <f t="shared" si="25"/>
        <v>75408</v>
      </c>
      <c r="I84" s="81">
        <f t="shared" si="25"/>
        <v>-1508</v>
      </c>
      <c r="K84" s="105"/>
      <c r="L84" s="100">
        <v>0.85</v>
      </c>
      <c r="M84" s="100">
        <v>1.65</v>
      </c>
      <c r="Q84" s="423" t="s">
        <v>445</v>
      </c>
    </row>
    <row r="85" spans="1:17" x14ac:dyDescent="0.3">
      <c r="A85" s="1">
        <f t="shared" si="22"/>
        <v>76</v>
      </c>
      <c r="B85" s="55" t="str">
        <f t="shared" si="26"/>
        <v>53E - Company Owned</v>
      </c>
      <c r="C85" s="63" t="s">
        <v>175</v>
      </c>
      <c r="D85" s="60" t="s">
        <v>179</v>
      </c>
      <c r="E85" s="100">
        <f t="shared" si="23"/>
        <v>3.21</v>
      </c>
      <c r="F85" s="416">
        <f t="shared" si="24"/>
        <v>-7.0000000000000007E-2</v>
      </c>
      <c r="G85" s="48">
        <v>22112</v>
      </c>
      <c r="H85" s="81">
        <f t="shared" si="25"/>
        <v>70980</v>
      </c>
      <c r="I85" s="81">
        <f t="shared" si="25"/>
        <v>-1548</v>
      </c>
      <c r="K85" s="105"/>
      <c r="L85" s="100">
        <v>1.0900000000000001</v>
      </c>
      <c r="M85" s="100">
        <v>2.12</v>
      </c>
      <c r="Q85" s="423" t="s">
        <v>445</v>
      </c>
    </row>
    <row r="86" spans="1:17" x14ac:dyDescent="0.3">
      <c r="A86" s="1">
        <f t="shared" si="22"/>
        <v>77</v>
      </c>
      <c r="B86" s="55" t="str">
        <f t="shared" si="26"/>
        <v>53E - Company Owned</v>
      </c>
      <c r="C86" s="63" t="s">
        <v>175</v>
      </c>
      <c r="D86" s="60" t="s">
        <v>180</v>
      </c>
      <c r="E86" s="100">
        <f t="shared" si="23"/>
        <v>3.92</v>
      </c>
      <c r="F86" s="416">
        <f t="shared" si="24"/>
        <v>-0.08</v>
      </c>
      <c r="G86" s="48">
        <v>1269</v>
      </c>
      <c r="H86" s="81">
        <f t="shared" si="25"/>
        <v>4974</v>
      </c>
      <c r="I86" s="81">
        <f t="shared" si="25"/>
        <v>-102</v>
      </c>
      <c r="K86" s="105"/>
      <c r="L86" s="100">
        <v>1.33</v>
      </c>
      <c r="M86" s="100">
        <v>2.59</v>
      </c>
      <c r="Q86" s="423" t="s">
        <v>445</v>
      </c>
    </row>
    <row r="87" spans="1:17" x14ac:dyDescent="0.3">
      <c r="A87" s="1">
        <f t="shared" si="22"/>
        <v>78</v>
      </c>
      <c r="B87" s="55" t="str">
        <f t="shared" si="26"/>
        <v>53E - Company Owned</v>
      </c>
      <c r="C87" s="63" t="s">
        <v>175</v>
      </c>
      <c r="D87" s="60" t="s">
        <v>181</v>
      </c>
      <c r="E87" s="100">
        <f t="shared" si="23"/>
        <v>4.6400000000000006</v>
      </c>
      <c r="F87" s="416">
        <f t="shared" si="24"/>
        <v>-0.1</v>
      </c>
      <c r="G87" s="48">
        <v>5118</v>
      </c>
      <c r="H87" s="81">
        <f t="shared" si="25"/>
        <v>23748</v>
      </c>
      <c r="I87" s="81">
        <f t="shared" si="25"/>
        <v>-512</v>
      </c>
      <c r="K87" s="105"/>
      <c r="L87" s="100">
        <v>1.58</v>
      </c>
      <c r="M87" s="100">
        <v>3.06</v>
      </c>
      <c r="Q87" s="423" t="s">
        <v>445</v>
      </c>
    </row>
    <row r="88" spans="1:17" x14ac:dyDescent="0.3">
      <c r="A88" s="1">
        <f t="shared" si="22"/>
        <v>79</v>
      </c>
      <c r="B88" s="55" t="str">
        <f t="shared" si="26"/>
        <v>53E - Company Owned</v>
      </c>
      <c r="C88" s="63" t="s">
        <v>175</v>
      </c>
      <c r="D88" s="60" t="s">
        <v>182</v>
      </c>
      <c r="E88" s="100">
        <f t="shared" si="23"/>
        <v>5.36</v>
      </c>
      <c r="F88" s="416">
        <f t="shared" si="24"/>
        <v>-0.11</v>
      </c>
      <c r="G88" s="48">
        <v>509</v>
      </c>
      <c r="H88" s="81">
        <f t="shared" si="25"/>
        <v>2728</v>
      </c>
      <c r="I88" s="81">
        <f t="shared" si="25"/>
        <v>-56</v>
      </c>
      <c r="K88" s="105"/>
      <c r="L88" s="100">
        <v>1.82</v>
      </c>
      <c r="M88" s="100">
        <v>3.54</v>
      </c>
      <c r="Q88" s="423" t="s">
        <v>445</v>
      </c>
    </row>
    <row r="89" spans="1:17" x14ac:dyDescent="0.3">
      <c r="A89" s="1">
        <f t="shared" si="22"/>
        <v>80</v>
      </c>
      <c r="B89" s="55" t="str">
        <f t="shared" si="26"/>
        <v>53E - Company Owned</v>
      </c>
      <c r="C89" s="63" t="s">
        <v>175</v>
      </c>
      <c r="D89" s="60" t="s">
        <v>183</v>
      </c>
      <c r="E89" s="100">
        <f t="shared" si="23"/>
        <v>6.07</v>
      </c>
      <c r="F89" s="416">
        <f t="shared" si="24"/>
        <v>-0.12</v>
      </c>
      <c r="G89" s="48">
        <v>286</v>
      </c>
      <c r="H89" s="81">
        <f t="shared" si="25"/>
        <v>1736</v>
      </c>
      <c r="I89" s="81">
        <f t="shared" si="25"/>
        <v>-34</v>
      </c>
      <c r="K89" s="105"/>
      <c r="L89" s="100">
        <v>2.06</v>
      </c>
      <c r="M89" s="100">
        <v>4.01</v>
      </c>
      <c r="Q89" s="423" t="s">
        <v>445</v>
      </c>
    </row>
    <row r="90" spans="1:17" x14ac:dyDescent="0.3">
      <c r="A90" s="1">
        <f t="shared" si="22"/>
        <v>81</v>
      </c>
      <c r="B90" s="55" t="str">
        <f t="shared" si="26"/>
        <v>53E - Company Owned</v>
      </c>
      <c r="C90" s="63" t="s">
        <v>175</v>
      </c>
      <c r="D90" s="60" t="s">
        <v>184</v>
      </c>
      <c r="E90" s="100">
        <f t="shared" si="23"/>
        <v>6.78</v>
      </c>
      <c r="F90" s="416">
        <f t="shared" si="24"/>
        <v>-0.14000000000000001</v>
      </c>
      <c r="G90" s="48">
        <v>1898</v>
      </c>
      <c r="H90" s="81">
        <f t="shared" si="25"/>
        <v>12868</v>
      </c>
      <c r="I90" s="81">
        <f t="shared" si="25"/>
        <v>-266</v>
      </c>
      <c r="K90" s="105"/>
      <c r="L90" s="100">
        <v>2.2999999999999998</v>
      </c>
      <c r="M90" s="100">
        <v>4.4800000000000004</v>
      </c>
      <c r="Q90" s="423" t="s">
        <v>445</v>
      </c>
    </row>
    <row r="91" spans="1:17" x14ac:dyDescent="0.3">
      <c r="A91" s="1">
        <f t="shared" si="22"/>
        <v>82</v>
      </c>
      <c r="B91" s="55"/>
      <c r="C91" s="63"/>
      <c r="D91" s="63"/>
      <c r="E91" s="100"/>
      <c r="F91" s="416"/>
      <c r="G91" s="48"/>
      <c r="H91" s="48"/>
      <c r="I91" s="48"/>
      <c r="K91" s="105"/>
      <c r="L91" s="100"/>
      <c r="M91" s="100"/>
      <c r="Q91" s="423"/>
    </row>
    <row r="92" spans="1:17" x14ac:dyDescent="0.3">
      <c r="A92" s="1">
        <f t="shared" si="22"/>
        <v>83</v>
      </c>
      <c r="B92" s="55" t="s">
        <v>190</v>
      </c>
      <c r="C92" s="63" t="s">
        <v>33</v>
      </c>
      <c r="D92" s="63">
        <v>50</v>
      </c>
      <c r="E92" s="100">
        <f t="shared" ref="E92:E100" si="27">SUM(L92:M92)</f>
        <v>1.19</v>
      </c>
      <c r="F92" s="416">
        <f t="shared" ref="F92:F100" si="28">ROUND(+E92*$J$10,2)</f>
        <v>-0.02</v>
      </c>
      <c r="G92" s="48">
        <v>0</v>
      </c>
      <c r="H92" s="81">
        <f t="shared" ref="H92:I100" si="29">ROUND($G92*E92,0)</f>
        <v>0</v>
      </c>
      <c r="I92" s="81">
        <f t="shared" si="29"/>
        <v>0</v>
      </c>
      <c r="K92" s="105"/>
      <c r="L92" s="100">
        <v>0.4</v>
      </c>
      <c r="M92" s="100">
        <v>0.79</v>
      </c>
      <c r="Q92" s="423" t="s">
        <v>448</v>
      </c>
    </row>
    <row r="93" spans="1:17" x14ac:dyDescent="0.3">
      <c r="A93" s="1">
        <f t="shared" si="22"/>
        <v>84</v>
      </c>
      <c r="B93" s="55" t="str">
        <f t="shared" ref="B93:B100" si="30">+B92</f>
        <v>53E - Customer Owned</v>
      </c>
      <c r="C93" s="63" t="s">
        <v>33</v>
      </c>
      <c r="D93" s="63">
        <v>70</v>
      </c>
      <c r="E93" s="100">
        <f t="shared" si="27"/>
        <v>1.67</v>
      </c>
      <c r="F93" s="416">
        <f t="shared" si="28"/>
        <v>-0.03</v>
      </c>
      <c r="G93" s="48">
        <v>624</v>
      </c>
      <c r="H93" s="81">
        <f t="shared" si="29"/>
        <v>1042</v>
      </c>
      <c r="I93" s="81">
        <f t="shared" si="29"/>
        <v>-19</v>
      </c>
      <c r="K93" s="105"/>
      <c r="L93" s="100">
        <v>0.56999999999999995</v>
      </c>
      <c r="M93" s="100">
        <v>1.1000000000000001</v>
      </c>
      <c r="Q93" s="423" t="s">
        <v>448</v>
      </c>
    </row>
    <row r="94" spans="1:17" x14ac:dyDescent="0.3">
      <c r="A94" s="1">
        <f t="shared" si="22"/>
        <v>85</v>
      </c>
      <c r="B94" s="55" t="str">
        <f t="shared" si="30"/>
        <v>53E - Customer Owned</v>
      </c>
      <c r="C94" s="63" t="s">
        <v>33</v>
      </c>
      <c r="D94" s="63">
        <v>100</v>
      </c>
      <c r="E94" s="100">
        <f t="shared" si="27"/>
        <v>2.38</v>
      </c>
      <c r="F94" s="416">
        <f t="shared" si="28"/>
        <v>-0.05</v>
      </c>
      <c r="G94" s="48">
        <v>2506</v>
      </c>
      <c r="H94" s="81">
        <f t="shared" si="29"/>
        <v>5964</v>
      </c>
      <c r="I94" s="81">
        <f t="shared" si="29"/>
        <v>-125</v>
      </c>
      <c r="K94" s="105"/>
      <c r="L94" s="100">
        <v>0.81</v>
      </c>
      <c r="M94" s="100">
        <v>1.57</v>
      </c>
      <c r="Q94" s="423" t="s">
        <v>448</v>
      </c>
    </row>
    <row r="95" spans="1:17" x14ac:dyDescent="0.3">
      <c r="A95" s="1">
        <f t="shared" si="22"/>
        <v>86</v>
      </c>
      <c r="B95" s="55" t="str">
        <f t="shared" si="30"/>
        <v>53E - Customer Owned</v>
      </c>
      <c r="C95" s="63" t="s">
        <v>33</v>
      </c>
      <c r="D95" s="63">
        <v>150</v>
      </c>
      <c r="E95" s="100">
        <f t="shared" si="27"/>
        <v>3.57</v>
      </c>
      <c r="F95" s="416">
        <f t="shared" si="28"/>
        <v>-7.0000000000000007E-2</v>
      </c>
      <c r="G95" s="48">
        <v>1143</v>
      </c>
      <c r="H95" s="81">
        <f t="shared" si="29"/>
        <v>4081</v>
      </c>
      <c r="I95" s="81">
        <f t="shared" si="29"/>
        <v>-80</v>
      </c>
      <c r="K95" s="105"/>
      <c r="L95" s="100">
        <v>1.21</v>
      </c>
      <c r="M95" s="100">
        <v>2.36</v>
      </c>
      <c r="Q95" s="423" t="s">
        <v>448</v>
      </c>
    </row>
    <row r="96" spans="1:17" x14ac:dyDescent="0.3">
      <c r="A96" s="1">
        <f t="shared" si="22"/>
        <v>87</v>
      </c>
      <c r="B96" s="55" t="str">
        <f t="shared" si="30"/>
        <v>53E - Customer Owned</v>
      </c>
      <c r="C96" s="63" t="s">
        <v>33</v>
      </c>
      <c r="D96" s="63">
        <v>200</v>
      </c>
      <c r="E96" s="100">
        <f t="shared" si="27"/>
        <v>4.76</v>
      </c>
      <c r="F96" s="416">
        <f t="shared" si="28"/>
        <v>-0.1</v>
      </c>
      <c r="G96" s="48">
        <v>4596</v>
      </c>
      <c r="H96" s="81">
        <f t="shared" si="29"/>
        <v>21877</v>
      </c>
      <c r="I96" s="81">
        <f t="shared" si="29"/>
        <v>-460</v>
      </c>
      <c r="K96" s="105"/>
      <c r="L96" s="100">
        <v>1.62</v>
      </c>
      <c r="M96" s="100">
        <v>3.14</v>
      </c>
      <c r="Q96" s="423" t="s">
        <v>448</v>
      </c>
    </row>
    <row r="97" spans="1:17" x14ac:dyDescent="0.3">
      <c r="A97" s="1">
        <f t="shared" si="22"/>
        <v>88</v>
      </c>
      <c r="B97" s="55" t="str">
        <f t="shared" si="30"/>
        <v>53E - Customer Owned</v>
      </c>
      <c r="C97" s="63" t="s">
        <v>33</v>
      </c>
      <c r="D97" s="63">
        <v>250</v>
      </c>
      <c r="E97" s="100">
        <f t="shared" si="27"/>
        <v>5.95</v>
      </c>
      <c r="F97" s="416">
        <f t="shared" si="28"/>
        <v>-0.12</v>
      </c>
      <c r="G97" s="48">
        <v>2935</v>
      </c>
      <c r="H97" s="81">
        <f t="shared" si="29"/>
        <v>17463</v>
      </c>
      <c r="I97" s="81">
        <f t="shared" si="29"/>
        <v>-352</v>
      </c>
      <c r="K97" s="105"/>
      <c r="L97" s="100">
        <v>2.02</v>
      </c>
      <c r="M97" s="100">
        <v>3.93</v>
      </c>
      <c r="Q97" s="423" t="s">
        <v>448</v>
      </c>
    </row>
    <row r="98" spans="1:17" x14ac:dyDescent="0.3">
      <c r="A98" s="1">
        <f t="shared" si="22"/>
        <v>89</v>
      </c>
      <c r="B98" s="55" t="str">
        <f t="shared" si="30"/>
        <v>53E - Customer Owned</v>
      </c>
      <c r="C98" s="63" t="s">
        <v>33</v>
      </c>
      <c r="D98" s="63">
        <v>310</v>
      </c>
      <c r="E98" s="100">
        <f t="shared" si="27"/>
        <v>7.37</v>
      </c>
      <c r="F98" s="416">
        <f t="shared" si="28"/>
        <v>-0.15</v>
      </c>
      <c r="G98" s="48">
        <v>83</v>
      </c>
      <c r="H98" s="81">
        <f t="shared" si="29"/>
        <v>612</v>
      </c>
      <c r="I98" s="81">
        <f t="shared" si="29"/>
        <v>-12</v>
      </c>
      <c r="K98" s="105"/>
      <c r="L98" s="100">
        <v>2.5</v>
      </c>
      <c r="M98" s="100">
        <v>4.87</v>
      </c>
      <c r="Q98" s="423" t="s">
        <v>448</v>
      </c>
    </row>
    <row r="99" spans="1:17" x14ac:dyDescent="0.3">
      <c r="A99" s="1">
        <f t="shared" si="22"/>
        <v>90</v>
      </c>
      <c r="B99" s="55" t="str">
        <f t="shared" si="30"/>
        <v>53E - Customer Owned</v>
      </c>
      <c r="C99" s="63" t="s">
        <v>33</v>
      </c>
      <c r="D99" s="63">
        <v>400</v>
      </c>
      <c r="E99" s="100">
        <f t="shared" si="27"/>
        <v>9.51</v>
      </c>
      <c r="F99" s="416">
        <f t="shared" si="28"/>
        <v>-0.19</v>
      </c>
      <c r="G99" s="48">
        <v>4714</v>
      </c>
      <c r="H99" s="81">
        <f t="shared" si="29"/>
        <v>44830</v>
      </c>
      <c r="I99" s="81">
        <f t="shared" si="29"/>
        <v>-896</v>
      </c>
      <c r="K99" s="105"/>
      <c r="L99" s="100">
        <v>3.23</v>
      </c>
      <c r="M99" s="100">
        <v>6.28</v>
      </c>
      <c r="Q99" s="423" t="s">
        <v>448</v>
      </c>
    </row>
    <row r="100" spans="1:17" x14ac:dyDescent="0.3">
      <c r="A100" s="1">
        <f t="shared" si="22"/>
        <v>91</v>
      </c>
      <c r="B100" s="55" t="str">
        <f t="shared" si="30"/>
        <v>53E - Customer Owned</v>
      </c>
      <c r="C100" s="63" t="s">
        <v>33</v>
      </c>
      <c r="D100" s="63">
        <v>1000</v>
      </c>
      <c r="E100" s="100">
        <f t="shared" si="27"/>
        <v>23.79</v>
      </c>
      <c r="F100" s="416">
        <f t="shared" si="28"/>
        <v>-0.49</v>
      </c>
      <c r="G100" s="48">
        <v>0</v>
      </c>
      <c r="H100" s="81">
        <f t="shared" si="29"/>
        <v>0</v>
      </c>
      <c r="I100" s="81">
        <f t="shared" si="29"/>
        <v>0</v>
      </c>
      <c r="K100" s="105"/>
      <c r="L100" s="100">
        <v>8.08</v>
      </c>
      <c r="M100" s="100">
        <v>15.71</v>
      </c>
      <c r="Q100" s="423" t="s">
        <v>448</v>
      </c>
    </row>
    <row r="101" spans="1:17" x14ac:dyDescent="0.3">
      <c r="A101" s="1">
        <f t="shared" si="22"/>
        <v>92</v>
      </c>
      <c r="B101" s="55"/>
      <c r="C101" s="63"/>
      <c r="D101" s="63"/>
      <c r="E101" s="100"/>
      <c r="F101" s="416"/>
      <c r="G101" s="48"/>
      <c r="H101" s="48"/>
      <c r="I101" s="48"/>
      <c r="K101" s="105"/>
      <c r="L101" s="100"/>
      <c r="M101" s="100"/>
      <c r="Q101" s="423"/>
    </row>
    <row r="102" spans="1:17" x14ac:dyDescent="0.3">
      <c r="A102" s="1">
        <f t="shared" si="22"/>
        <v>93</v>
      </c>
      <c r="B102" s="55" t="str">
        <f>+B100</f>
        <v>53E - Customer Owned</v>
      </c>
      <c r="C102" s="63" t="s">
        <v>187</v>
      </c>
      <c r="D102" s="63">
        <v>70</v>
      </c>
      <c r="E102" s="100">
        <f t="shared" ref="E102:E107" si="31">SUM(L102:M102)</f>
        <v>1.67</v>
      </c>
      <c r="F102" s="416">
        <f t="shared" ref="F102:F107" si="32">ROUND(+E102*$J$10,2)</f>
        <v>-0.03</v>
      </c>
      <c r="G102" s="48">
        <v>0</v>
      </c>
      <c r="H102" s="81">
        <f t="shared" ref="H102:I107" si="33">ROUND($G102*E102,0)</f>
        <v>0</v>
      </c>
      <c r="I102" s="81">
        <f t="shared" si="33"/>
        <v>0</v>
      </c>
      <c r="K102" s="105"/>
      <c r="L102" s="100">
        <v>0.56999999999999995</v>
      </c>
      <c r="M102" s="100">
        <v>1.1000000000000001</v>
      </c>
      <c r="Q102" s="423" t="s">
        <v>448</v>
      </c>
    </row>
    <row r="103" spans="1:17" x14ac:dyDescent="0.3">
      <c r="A103" s="1">
        <f t="shared" si="22"/>
        <v>94</v>
      </c>
      <c r="B103" s="55" t="str">
        <f>+B102</f>
        <v>53E - Customer Owned</v>
      </c>
      <c r="C103" s="63" t="s">
        <v>187</v>
      </c>
      <c r="D103" s="63">
        <v>100</v>
      </c>
      <c r="E103" s="100">
        <f t="shared" si="31"/>
        <v>2.38</v>
      </c>
      <c r="F103" s="416">
        <f t="shared" si="32"/>
        <v>-0.05</v>
      </c>
      <c r="G103" s="48">
        <v>0</v>
      </c>
      <c r="H103" s="81">
        <f t="shared" si="33"/>
        <v>0</v>
      </c>
      <c r="I103" s="81">
        <f t="shared" si="33"/>
        <v>0</v>
      </c>
      <c r="K103" s="105"/>
      <c r="L103" s="100">
        <v>0.81</v>
      </c>
      <c r="M103" s="100">
        <v>1.57</v>
      </c>
      <c r="Q103" s="423" t="s">
        <v>448</v>
      </c>
    </row>
    <row r="104" spans="1:17" x14ac:dyDescent="0.3">
      <c r="A104" s="1">
        <f t="shared" si="22"/>
        <v>95</v>
      </c>
      <c r="B104" s="55" t="str">
        <f>+B103</f>
        <v>53E - Customer Owned</v>
      </c>
      <c r="C104" s="63" t="s">
        <v>187</v>
      </c>
      <c r="D104" s="63">
        <v>150</v>
      </c>
      <c r="E104" s="100">
        <f t="shared" si="31"/>
        <v>3.57</v>
      </c>
      <c r="F104" s="416">
        <f t="shared" si="32"/>
        <v>-7.0000000000000007E-2</v>
      </c>
      <c r="G104" s="48">
        <v>0</v>
      </c>
      <c r="H104" s="81">
        <f t="shared" si="33"/>
        <v>0</v>
      </c>
      <c r="I104" s="81">
        <f t="shared" si="33"/>
        <v>0</v>
      </c>
      <c r="K104" s="105"/>
      <c r="L104" s="100">
        <v>1.21</v>
      </c>
      <c r="M104" s="100">
        <v>2.36</v>
      </c>
      <c r="Q104" s="423" t="s">
        <v>448</v>
      </c>
    </row>
    <row r="105" spans="1:17" x14ac:dyDescent="0.3">
      <c r="A105" s="1">
        <f t="shared" si="22"/>
        <v>96</v>
      </c>
      <c r="B105" s="55" t="str">
        <f>+B104</f>
        <v>53E - Customer Owned</v>
      </c>
      <c r="C105" s="63" t="s">
        <v>187</v>
      </c>
      <c r="D105" s="63">
        <v>175</v>
      </c>
      <c r="E105" s="100">
        <f t="shared" si="31"/>
        <v>4.16</v>
      </c>
      <c r="F105" s="416">
        <f t="shared" si="32"/>
        <v>-0.09</v>
      </c>
      <c r="G105" s="48">
        <v>48</v>
      </c>
      <c r="H105" s="81">
        <f t="shared" si="33"/>
        <v>200</v>
      </c>
      <c r="I105" s="81">
        <f t="shared" si="33"/>
        <v>-4</v>
      </c>
      <c r="K105" s="105"/>
      <c r="L105" s="100">
        <v>1.41</v>
      </c>
      <c r="M105" s="100">
        <v>2.75</v>
      </c>
      <c r="Q105" s="423" t="str">
        <f t="shared" ref="Q105" si="34">Q79</f>
        <v>95-I</v>
      </c>
    </row>
    <row r="106" spans="1:17" x14ac:dyDescent="0.3">
      <c r="A106" s="1">
        <f t="shared" si="22"/>
        <v>97</v>
      </c>
      <c r="B106" s="55" t="str">
        <f>+B105</f>
        <v>53E - Customer Owned</v>
      </c>
      <c r="C106" s="63" t="s">
        <v>187</v>
      </c>
      <c r="D106" s="63">
        <v>250</v>
      </c>
      <c r="E106" s="100">
        <f t="shared" si="31"/>
        <v>5.95</v>
      </c>
      <c r="F106" s="416">
        <f t="shared" si="32"/>
        <v>-0.12</v>
      </c>
      <c r="G106" s="48">
        <v>0</v>
      </c>
      <c r="H106" s="81">
        <f t="shared" si="33"/>
        <v>0</v>
      </c>
      <c r="I106" s="81">
        <f t="shared" si="33"/>
        <v>0</v>
      </c>
      <c r="K106" s="105"/>
      <c r="L106" s="100">
        <v>2.02</v>
      </c>
      <c r="M106" s="100">
        <v>3.93</v>
      </c>
      <c r="Q106" s="423" t="s">
        <v>448</v>
      </c>
    </row>
    <row r="107" spans="1:17" x14ac:dyDescent="0.3">
      <c r="A107" s="1">
        <f t="shared" si="22"/>
        <v>98</v>
      </c>
      <c r="B107" s="55" t="str">
        <f>+B106</f>
        <v>53E - Customer Owned</v>
      </c>
      <c r="C107" s="63" t="s">
        <v>187</v>
      </c>
      <c r="D107" s="63">
        <v>400</v>
      </c>
      <c r="E107" s="100">
        <f t="shared" si="31"/>
        <v>9.51</v>
      </c>
      <c r="F107" s="416">
        <f t="shared" si="32"/>
        <v>-0.19</v>
      </c>
      <c r="G107" s="48">
        <v>0</v>
      </c>
      <c r="H107" s="81">
        <f t="shared" si="33"/>
        <v>0</v>
      </c>
      <c r="I107" s="81">
        <f t="shared" si="33"/>
        <v>0</v>
      </c>
      <c r="K107" s="105"/>
      <c r="L107" s="100">
        <v>3.23</v>
      </c>
      <c r="M107" s="100">
        <v>6.28</v>
      </c>
      <c r="Q107" s="423" t="s">
        <v>448</v>
      </c>
    </row>
    <row r="108" spans="1:17" x14ac:dyDescent="0.3">
      <c r="A108" s="1">
        <f t="shared" si="22"/>
        <v>99</v>
      </c>
      <c r="B108" s="55"/>
      <c r="C108" s="63"/>
      <c r="D108" s="63"/>
      <c r="E108" s="100"/>
      <c r="F108" s="416"/>
      <c r="G108" s="48"/>
      <c r="H108" s="48"/>
      <c r="I108" s="48"/>
      <c r="K108" s="105"/>
      <c r="L108" s="100"/>
      <c r="M108" s="100"/>
      <c r="Q108" s="423"/>
    </row>
    <row r="109" spans="1:17" x14ac:dyDescent="0.3">
      <c r="A109" s="1">
        <f t="shared" si="22"/>
        <v>100</v>
      </c>
      <c r="B109" s="55" t="str">
        <f>+B107</f>
        <v>53E - Customer Owned</v>
      </c>
      <c r="C109" s="63" t="s">
        <v>175</v>
      </c>
      <c r="D109" s="60" t="s">
        <v>176</v>
      </c>
      <c r="E109" s="100">
        <f t="shared" ref="E109:E117" si="35">SUM(L109:M109)</f>
        <v>1.0699999999999998</v>
      </c>
      <c r="F109" s="416">
        <f t="shared" ref="F109:F117" si="36">ROUND(+E109*$J$10,2)</f>
        <v>-0.02</v>
      </c>
      <c r="G109" s="48">
        <v>8135</v>
      </c>
      <c r="H109" s="81">
        <f t="shared" ref="H109:I117" si="37">ROUND($G109*E109,0)</f>
        <v>8704</v>
      </c>
      <c r="I109" s="81">
        <f t="shared" si="37"/>
        <v>-163</v>
      </c>
      <c r="K109" s="105"/>
      <c r="L109" s="100">
        <v>0.36</v>
      </c>
      <c r="M109" s="100">
        <v>0.71</v>
      </c>
      <c r="Q109" s="423" t="s">
        <v>448</v>
      </c>
    </row>
    <row r="110" spans="1:17" x14ac:dyDescent="0.3">
      <c r="A110" s="1">
        <f t="shared" si="22"/>
        <v>101</v>
      </c>
      <c r="B110" s="55" t="str">
        <f t="shared" ref="B110:B117" si="38">B109</f>
        <v>53E - Customer Owned</v>
      </c>
      <c r="C110" s="63" t="s">
        <v>175</v>
      </c>
      <c r="D110" s="60" t="s">
        <v>177</v>
      </c>
      <c r="E110" s="100">
        <f t="shared" si="35"/>
        <v>1.79</v>
      </c>
      <c r="F110" s="416">
        <f t="shared" si="36"/>
        <v>-0.04</v>
      </c>
      <c r="G110" s="48">
        <v>7653</v>
      </c>
      <c r="H110" s="81">
        <f t="shared" si="37"/>
        <v>13699</v>
      </c>
      <c r="I110" s="81">
        <f t="shared" si="37"/>
        <v>-306</v>
      </c>
      <c r="K110" s="105"/>
      <c r="L110" s="100">
        <v>0.61</v>
      </c>
      <c r="M110" s="100">
        <v>1.18</v>
      </c>
      <c r="Q110" s="423" t="s">
        <v>448</v>
      </c>
    </row>
    <row r="111" spans="1:17" x14ac:dyDescent="0.3">
      <c r="A111" s="1">
        <f t="shared" si="22"/>
        <v>102</v>
      </c>
      <c r="B111" s="55" t="str">
        <f t="shared" si="38"/>
        <v>53E - Customer Owned</v>
      </c>
      <c r="C111" s="63" t="s">
        <v>175</v>
      </c>
      <c r="D111" s="60" t="s">
        <v>178</v>
      </c>
      <c r="E111" s="100">
        <f t="shared" si="35"/>
        <v>2.5</v>
      </c>
      <c r="F111" s="416">
        <f t="shared" si="36"/>
        <v>-0.05</v>
      </c>
      <c r="G111" s="48">
        <v>10765</v>
      </c>
      <c r="H111" s="81">
        <f t="shared" si="37"/>
        <v>26913</v>
      </c>
      <c r="I111" s="81">
        <f t="shared" si="37"/>
        <v>-538</v>
      </c>
      <c r="K111" s="105"/>
      <c r="L111" s="100">
        <v>0.85</v>
      </c>
      <c r="M111" s="100">
        <v>1.65</v>
      </c>
      <c r="Q111" s="423" t="s">
        <v>448</v>
      </c>
    </row>
    <row r="112" spans="1:17" x14ac:dyDescent="0.3">
      <c r="A112" s="1">
        <f t="shared" si="22"/>
        <v>103</v>
      </c>
      <c r="B112" s="55" t="str">
        <f t="shared" si="38"/>
        <v>53E - Customer Owned</v>
      </c>
      <c r="C112" s="63" t="s">
        <v>175</v>
      </c>
      <c r="D112" s="60" t="s">
        <v>179</v>
      </c>
      <c r="E112" s="100">
        <f t="shared" si="35"/>
        <v>3.21</v>
      </c>
      <c r="F112" s="416">
        <f t="shared" si="36"/>
        <v>-7.0000000000000007E-2</v>
      </c>
      <c r="G112" s="48">
        <v>1272</v>
      </c>
      <c r="H112" s="81">
        <f t="shared" si="37"/>
        <v>4083</v>
      </c>
      <c r="I112" s="81">
        <f t="shared" si="37"/>
        <v>-89</v>
      </c>
      <c r="K112" s="105"/>
      <c r="L112" s="100">
        <v>1.0900000000000001</v>
      </c>
      <c r="M112" s="100">
        <v>2.12</v>
      </c>
      <c r="Q112" s="423" t="s">
        <v>448</v>
      </c>
    </row>
    <row r="113" spans="1:17" x14ac:dyDescent="0.3">
      <c r="A113" s="1">
        <f t="shared" si="22"/>
        <v>104</v>
      </c>
      <c r="B113" s="55" t="str">
        <f t="shared" si="38"/>
        <v>53E - Customer Owned</v>
      </c>
      <c r="C113" s="63" t="s">
        <v>175</v>
      </c>
      <c r="D113" s="60" t="s">
        <v>180</v>
      </c>
      <c r="E113" s="100">
        <f t="shared" si="35"/>
        <v>3.92</v>
      </c>
      <c r="F113" s="416">
        <f t="shared" si="36"/>
        <v>-0.08</v>
      </c>
      <c r="G113" s="48">
        <v>16017</v>
      </c>
      <c r="H113" s="81">
        <f t="shared" si="37"/>
        <v>62787</v>
      </c>
      <c r="I113" s="81">
        <f t="shared" si="37"/>
        <v>-1281</v>
      </c>
      <c r="K113" s="105"/>
      <c r="L113" s="100">
        <v>1.33</v>
      </c>
      <c r="M113" s="100">
        <v>2.59</v>
      </c>
      <c r="Q113" s="423" t="s">
        <v>448</v>
      </c>
    </row>
    <row r="114" spans="1:17" x14ac:dyDescent="0.3">
      <c r="A114" s="1">
        <f t="shared" si="22"/>
        <v>105</v>
      </c>
      <c r="B114" s="55" t="str">
        <f t="shared" si="38"/>
        <v>53E - Customer Owned</v>
      </c>
      <c r="C114" s="63" t="s">
        <v>175</v>
      </c>
      <c r="D114" s="60" t="s">
        <v>181</v>
      </c>
      <c r="E114" s="100">
        <f t="shared" si="35"/>
        <v>4.6400000000000006</v>
      </c>
      <c r="F114" s="416">
        <f t="shared" si="36"/>
        <v>-0.1</v>
      </c>
      <c r="G114" s="48">
        <v>1272</v>
      </c>
      <c r="H114" s="81">
        <f t="shared" si="37"/>
        <v>5902</v>
      </c>
      <c r="I114" s="81">
        <f t="shared" si="37"/>
        <v>-127</v>
      </c>
      <c r="K114" s="105"/>
      <c r="L114" s="100">
        <v>1.58</v>
      </c>
      <c r="M114" s="100">
        <v>3.06</v>
      </c>
      <c r="Q114" s="423" t="s">
        <v>448</v>
      </c>
    </row>
    <row r="115" spans="1:17" x14ac:dyDescent="0.3">
      <c r="A115" s="1">
        <f t="shared" si="22"/>
        <v>106</v>
      </c>
      <c r="B115" s="55" t="str">
        <f t="shared" si="38"/>
        <v>53E - Customer Owned</v>
      </c>
      <c r="C115" s="63" t="s">
        <v>175</v>
      </c>
      <c r="D115" s="60" t="s">
        <v>182</v>
      </c>
      <c r="E115" s="100">
        <f t="shared" si="35"/>
        <v>5.36</v>
      </c>
      <c r="F115" s="416">
        <f t="shared" si="36"/>
        <v>-0.11</v>
      </c>
      <c r="G115" s="48">
        <v>0</v>
      </c>
      <c r="H115" s="81">
        <f t="shared" si="37"/>
        <v>0</v>
      </c>
      <c r="I115" s="81">
        <f t="shared" si="37"/>
        <v>0</v>
      </c>
      <c r="K115" s="105"/>
      <c r="L115" s="100">
        <v>1.82</v>
      </c>
      <c r="M115" s="100">
        <v>3.54</v>
      </c>
      <c r="Q115" s="423" t="s">
        <v>448</v>
      </c>
    </row>
    <row r="116" spans="1:17" x14ac:dyDescent="0.3">
      <c r="A116" s="1">
        <f t="shared" si="22"/>
        <v>107</v>
      </c>
      <c r="B116" s="55" t="str">
        <f t="shared" si="38"/>
        <v>53E - Customer Owned</v>
      </c>
      <c r="C116" s="63" t="s">
        <v>175</v>
      </c>
      <c r="D116" s="60" t="s">
        <v>183</v>
      </c>
      <c r="E116" s="100">
        <f t="shared" si="35"/>
        <v>6.07</v>
      </c>
      <c r="F116" s="416">
        <f t="shared" si="36"/>
        <v>-0.12</v>
      </c>
      <c r="G116" s="48">
        <v>24</v>
      </c>
      <c r="H116" s="81">
        <f t="shared" si="37"/>
        <v>146</v>
      </c>
      <c r="I116" s="81">
        <f t="shared" si="37"/>
        <v>-3</v>
      </c>
      <c r="K116" s="105"/>
      <c r="L116" s="100">
        <v>2.06</v>
      </c>
      <c r="M116" s="100">
        <v>4.01</v>
      </c>
      <c r="Q116" s="423" t="s">
        <v>448</v>
      </c>
    </row>
    <row r="117" spans="1:17" x14ac:dyDescent="0.3">
      <c r="A117" s="1">
        <f t="shared" si="22"/>
        <v>108</v>
      </c>
      <c r="B117" s="55" t="str">
        <f t="shared" si="38"/>
        <v>53E - Customer Owned</v>
      </c>
      <c r="C117" s="63" t="s">
        <v>175</v>
      </c>
      <c r="D117" s="60" t="s">
        <v>184</v>
      </c>
      <c r="E117" s="100">
        <f t="shared" si="35"/>
        <v>6.78</v>
      </c>
      <c r="F117" s="416">
        <f t="shared" si="36"/>
        <v>-0.14000000000000001</v>
      </c>
      <c r="G117" s="48">
        <v>0</v>
      </c>
      <c r="H117" s="81">
        <f t="shared" si="37"/>
        <v>0</v>
      </c>
      <c r="I117" s="81">
        <f t="shared" si="37"/>
        <v>0</v>
      </c>
      <c r="K117" s="105"/>
      <c r="L117" s="100">
        <v>2.2999999999999998</v>
      </c>
      <c r="M117" s="100">
        <v>4.4800000000000004</v>
      </c>
      <c r="Q117" s="423" t="s">
        <v>448</v>
      </c>
    </row>
    <row r="118" spans="1:17" x14ac:dyDescent="0.3">
      <c r="A118" s="1">
        <f t="shared" si="22"/>
        <v>109</v>
      </c>
      <c r="B118" s="65"/>
      <c r="C118" s="63"/>
      <c r="D118" s="63"/>
      <c r="E118" s="100"/>
      <c r="F118" s="416"/>
      <c r="G118" s="48"/>
      <c r="H118" s="48"/>
      <c r="I118" s="48"/>
      <c r="K118" s="105"/>
      <c r="L118" s="100"/>
      <c r="M118" s="100"/>
      <c r="Q118" s="423"/>
    </row>
    <row r="119" spans="1:17" x14ac:dyDescent="0.3">
      <c r="A119" s="1">
        <f t="shared" si="22"/>
        <v>110</v>
      </c>
      <c r="B119" s="53" t="s">
        <v>191</v>
      </c>
      <c r="C119" s="53"/>
      <c r="D119" s="53"/>
      <c r="E119" s="100"/>
      <c r="F119" s="416"/>
      <c r="G119" s="48"/>
      <c r="H119" s="48"/>
      <c r="I119" s="48"/>
      <c r="K119" s="105"/>
      <c r="L119" s="100"/>
      <c r="M119" s="100"/>
      <c r="Q119" s="423"/>
    </row>
    <row r="120" spans="1:17" x14ac:dyDescent="0.3">
      <c r="A120" s="1">
        <f t="shared" si="22"/>
        <v>111</v>
      </c>
      <c r="B120" s="55" t="s">
        <v>192</v>
      </c>
      <c r="C120" s="63" t="s">
        <v>33</v>
      </c>
      <c r="D120" s="63">
        <v>50</v>
      </c>
      <c r="E120" s="100">
        <f t="shared" ref="E120:E128" si="39">SUM(L120:M120)</f>
        <v>1.19</v>
      </c>
      <c r="F120" s="416">
        <f t="shared" ref="F120:F128" si="40">ROUND(+E120*$J$10,2)</f>
        <v>-0.02</v>
      </c>
      <c r="G120" s="48">
        <v>456</v>
      </c>
      <c r="H120" s="81">
        <f t="shared" ref="H120:I128" si="41">ROUND($G120*E120,0)</f>
        <v>543</v>
      </c>
      <c r="I120" s="81">
        <f t="shared" si="41"/>
        <v>-9</v>
      </c>
      <c r="K120" s="105"/>
      <c r="L120" s="100">
        <v>0.4</v>
      </c>
      <c r="M120" s="100">
        <v>0.79</v>
      </c>
      <c r="Q120" s="423" t="s">
        <v>447</v>
      </c>
    </row>
    <row r="121" spans="1:17" x14ac:dyDescent="0.3">
      <c r="A121" s="1">
        <f t="shared" si="22"/>
        <v>112</v>
      </c>
      <c r="B121" s="55" t="str">
        <f t="shared" ref="B121:B128" si="42">+B120</f>
        <v>54E</v>
      </c>
      <c r="C121" s="63" t="s">
        <v>33</v>
      </c>
      <c r="D121" s="63">
        <v>70</v>
      </c>
      <c r="E121" s="100">
        <f t="shared" si="39"/>
        <v>1.67</v>
      </c>
      <c r="F121" s="416">
        <f t="shared" si="40"/>
        <v>-0.03</v>
      </c>
      <c r="G121" s="48">
        <v>6949</v>
      </c>
      <c r="H121" s="81">
        <f t="shared" si="41"/>
        <v>11605</v>
      </c>
      <c r="I121" s="81">
        <f t="shared" si="41"/>
        <v>-208</v>
      </c>
      <c r="K121" s="105"/>
      <c r="L121" s="100">
        <v>0.56999999999999995</v>
      </c>
      <c r="M121" s="100">
        <v>1.1000000000000001</v>
      </c>
      <c r="Q121" s="423" t="s">
        <v>447</v>
      </c>
    </row>
    <row r="122" spans="1:17" x14ac:dyDescent="0.3">
      <c r="A122" s="1">
        <f t="shared" si="22"/>
        <v>113</v>
      </c>
      <c r="B122" s="55" t="str">
        <f t="shared" si="42"/>
        <v>54E</v>
      </c>
      <c r="C122" s="63" t="s">
        <v>33</v>
      </c>
      <c r="D122" s="63">
        <v>100</v>
      </c>
      <c r="E122" s="100">
        <f t="shared" si="39"/>
        <v>2.38</v>
      </c>
      <c r="F122" s="416">
        <f t="shared" si="40"/>
        <v>-0.05</v>
      </c>
      <c r="G122" s="48">
        <v>17034</v>
      </c>
      <c r="H122" s="81">
        <f t="shared" si="41"/>
        <v>40541</v>
      </c>
      <c r="I122" s="81">
        <f t="shared" si="41"/>
        <v>-852</v>
      </c>
      <c r="K122" s="105"/>
      <c r="L122" s="100">
        <v>0.81</v>
      </c>
      <c r="M122" s="100">
        <v>1.57</v>
      </c>
      <c r="Q122" s="423" t="s">
        <v>447</v>
      </c>
    </row>
    <row r="123" spans="1:17" x14ac:dyDescent="0.3">
      <c r="A123" s="1">
        <f t="shared" si="22"/>
        <v>114</v>
      </c>
      <c r="B123" s="55" t="str">
        <f t="shared" si="42"/>
        <v>54E</v>
      </c>
      <c r="C123" s="63" t="s">
        <v>33</v>
      </c>
      <c r="D123" s="63">
        <v>150</v>
      </c>
      <c r="E123" s="100">
        <f t="shared" si="39"/>
        <v>3.57</v>
      </c>
      <c r="F123" s="416">
        <f t="shared" si="40"/>
        <v>-7.0000000000000007E-2</v>
      </c>
      <c r="G123" s="48">
        <v>5181</v>
      </c>
      <c r="H123" s="81">
        <f t="shared" si="41"/>
        <v>18496</v>
      </c>
      <c r="I123" s="81">
        <f t="shared" si="41"/>
        <v>-363</v>
      </c>
      <c r="K123" s="105"/>
      <c r="L123" s="100">
        <v>1.21</v>
      </c>
      <c r="M123" s="100">
        <v>2.36</v>
      </c>
      <c r="Q123" s="423" t="s">
        <v>447</v>
      </c>
    </row>
    <row r="124" spans="1:17" x14ac:dyDescent="0.3">
      <c r="A124" s="1">
        <f t="shared" si="22"/>
        <v>115</v>
      </c>
      <c r="B124" s="55" t="str">
        <f t="shared" si="42"/>
        <v>54E</v>
      </c>
      <c r="C124" s="63" t="s">
        <v>33</v>
      </c>
      <c r="D124" s="63">
        <v>200</v>
      </c>
      <c r="E124" s="100">
        <f t="shared" si="39"/>
        <v>4.76</v>
      </c>
      <c r="F124" s="416">
        <f t="shared" si="40"/>
        <v>-0.1</v>
      </c>
      <c r="G124" s="48">
        <v>6019</v>
      </c>
      <c r="H124" s="81">
        <f t="shared" si="41"/>
        <v>28650</v>
      </c>
      <c r="I124" s="81">
        <f t="shared" si="41"/>
        <v>-602</v>
      </c>
      <c r="K124" s="105"/>
      <c r="L124" s="100">
        <v>1.62</v>
      </c>
      <c r="M124" s="100">
        <v>3.14</v>
      </c>
      <c r="Q124" s="423" t="s">
        <v>447</v>
      </c>
    </row>
    <row r="125" spans="1:17" x14ac:dyDescent="0.3">
      <c r="A125" s="1">
        <f t="shared" si="22"/>
        <v>116</v>
      </c>
      <c r="B125" s="55" t="str">
        <f t="shared" si="42"/>
        <v>54E</v>
      </c>
      <c r="C125" s="63" t="s">
        <v>33</v>
      </c>
      <c r="D125" s="63">
        <v>250</v>
      </c>
      <c r="E125" s="100">
        <f t="shared" si="39"/>
        <v>5.95</v>
      </c>
      <c r="F125" s="416">
        <f t="shared" si="40"/>
        <v>-0.12</v>
      </c>
      <c r="G125" s="48">
        <v>13961</v>
      </c>
      <c r="H125" s="81">
        <f t="shared" si="41"/>
        <v>83068</v>
      </c>
      <c r="I125" s="81">
        <f t="shared" si="41"/>
        <v>-1675</v>
      </c>
      <c r="K125" s="105"/>
      <c r="L125" s="100">
        <v>2.02</v>
      </c>
      <c r="M125" s="100">
        <v>3.93</v>
      </c>
      <c r="Q125" s="423" t="s">
        <v>447</v>
      </c>
    </row>
    <row r="126" spans="1:17" x14ac:dyDescent="0.3">
      <c r="A126" s="1">
        <f t="shared" si="22"/>
        <v>117</v>
      </c>
      <c r="B126" s="55" t="str">
        <f t="shared" si="42"/>
        <v>54E</v>
      </c>
      <c r="C126" s="63" t="s">
        <v>33</v>
      </c>
      <c r="D126" s="63">
        <v>310</v>
      </c>
      <c r="E126" s="100">
        <f t="shared" si="39"/>
        <v>7.37</v>
      </c>
      <c r="F126" s="416">
        <f t="shared" si="40"/>
        <v>-0.15</v>
      </c>
      <c r="G126" s="48">
        <v>672</v>
      </c>
      <c r="H126" s="81">
        <f t="shared" si="41"/>
        <v>4953</v>
      </c>
      <c r="I126" s="81">
        <f t="shared" si="41"/>
        <v>-101</v>
      </c>
      <c r="K126" s="105"/>
      <c r="L126" s="100">
        <v>2.5</v>
      </c>
      <c r="M126" s="100">
        <v>4.87</v>
      </c>
      <c r="Q126" s="423" t="s">
        <v>447</v>
      </c>
    </row>
    <row r="127" spans="1:17" x14ac:dyDescent="0.3">
      <c r="A127" s="1">
        <f t="shared" si="22"/>
        <v>118</v>
      </c>
      <c r="B127" s="55" t="str">
        <f t="shared" si="42"/>
        <v>54E</v>
      </c>
      <c r="C127" s="63" t="s">
        <v>33</v>
      </c>
      <c r="D127" s="63">
        <v>400</v>
      </c>
      <c r="E127" s="100">
        <f t="shared" si="39"/>
        <v>9.51</v>
      </c>
      <c r="F127" s="416">
        <f t="shared" si="40"/>
        <v>-0.19</v>
      </c>
      <c r="G127" s="48">
        <v>7296</v>
      </c>
      <c r="H127" s="81">
        <f t="shared" si="41"/>
        <v>69385</v>
      </c>
      <c r="I127" s="81">
        <f t="shared" si="41"/>
        <v>-1386</v>
      </c>
      <c r="K127" s="105"/>
      <c r="L127" s="100">
        <v>3.23</v>
      </c>
      <c r="M127" s="100">
        <v>6.28</v>
      </c>
      <c r="Q127" s="423" t="s">
        <v>447</v>
      </c>
    </row>
    <row r="128" spans="1:17" x14ac:dyDescent="0.3">
      <c r="A128" s="1">
        <f t="shared" si="22"/>
        <v>119</v>
      </c>
      <c r="B128" s="55" t="str">
        <f t="shared" si="42"/>
        <v>54E</v>
      </c>
      <c r="C128" s="63" t="s">
        <v>33</v>
      </c>
      <c r="D128" s="63">
        <v>1000</v>
      </c>
      <c r="E128" s="100">
        <f t="shared" si="39"/>
        <v>23.79</v>
      </c>
      <c r="F128" s="416">
        <f t="shared" si="40"/>
        <v>-0.49</v>
      </c>
      <c r="G128" s="48">
        <v>99</v>
      </c>
      <c r="H128" s="81">
        <f t="shared" si="41"/>
        <v>2355</v>
      </c>
      <c r="I128" s="81">
        <f t="shared" si="41"/>
        <v>-49</v>
      </c>
      <c r="K128" s="105"/>
      <c r="L128" s="100">
        <v>8.08</v>
      </c>
      <c r="M128" s="100">
        <v>15.71</v>
      </c>
      <c r="Q128" s="423" t="s">
        <v>447</v>
      </c>
    </row>
    <row r="129" spans="1:17" x14ac:dyDescent="0.3">
      <c r="A129" s="1">
        <f t="shared" si="22"/>
        <v>120</v>
      </c>
      <c r="B129" s="65"/>
      <c r="C129" s="63"/>
      <c r="D129" s="63"/>
      <c r="E129" s="100"/>
      <c r="F129" s="416"/>
      <c r="G129" s="48"/>
      <c r="H129" s="48"/>
      <c r="I129" s="48"/>
      <c r="K129" s="105"/>
      <c r="L129" s="100"/>
      <c r="M129" s="100"/>
      <c r="Q129" s="423"/>
    </row>
    <row r="130" spans="1:17" x14ac:dyDescent="0.3">
      <c r="A130" s="333">
        <f t="shared" si="22"/>
        <v>121</v>
      </c>
      <c r="B130" s="55" t="str">
        <f>+B128</f>
        <v>54E</v>
      </c>
      <c r="C130" s="63" t="s">
        <v>175</v>
      </c>
      <c r="D130" s="60" t="s">
        <v>176</v>
      </c>
      <c r="E130" s="100">
        <f t="shared" ref="E130:E138" si="43">SUM(L130:M130)</f>
        <v>1.0699999999999998</v>
      </c>
      <c r="F130" s="416">
        <f t="shared" ref="F130:F138" si="44">ROUND(+E130*$J$10,2)</f>
        <v>-0.02</v>
      </c>
      <c r="G130" s="48">
        <v>18799</v>
      </c>
      <c r="H130" s="81">
        <f t="shared" ref="H130:I138" si="45">ROUND($G130*E130,0)</f>
        <v>20115</v>
      </c>
      <c r="I130" s="81">
        <f t="shared" si="45"/>
        <v>-376</v>
      </c>
      <c r="K130" s="105"/>
      <c r="L130" s="100">
        <v>0.36</v>
      </c>
      <c r="M130" s="100">
        <v>0.71</v>
      </c>
      <c r="Q130" s="423" t="s">
        <v>445</v>
      </c>
    </row>
    <row r="131" spans="1:17" x14ac:dyDescent="0.3">
      <c r="A131" s="1">
        <f t="shared" si="22"/>
        <v>122</v>
      </c>
      <c r="B131" s="55" t="str">
        <f t="shared" ref="B131:B138" si="46">+B130</f>
        <v>54E</v>
      </c>
      <c r="C131" s="63" t="s">
        <v>175</v>
      </c>
      <c r="D131" s="60" t="s">
        <v>177</v>
      </c>
      <c r="E131" s="100">
        <f t="shared" si="43"/>
        <v>1.79</v>
      </c>
      <c r="F131" s="416">
        <f t="shared" si="44"/>
        <v>-0.04</v>
      </c>
      <c r="G131" s="48">
        <v>908</v>
      </c>
      <c r="H131" s="81">
        <f t="shared" si="45"/>
        <v>1625</v>
      </c>
      <c r="I131" s="81">
        <f t="shared" si="45"/>
        <v>-36</v>
      </c>
      <c r="K131" s="105"/>
      <c r="L131" s="100">
        <v>0.61</v>
      </c>
      <c r="M131" s="100">
        <v>1.18</v>
      </c>
      <c r="Q131" s="423" t="s">
        <v>445</v>
      </c>
    </row>
    <row r="132" spans="1:17" x14ac:dyDescent="0.3">
      <c r="A132" s="1">
        <f t="shared" si="22"/>
        <v>123</v>
      </c>
      <c r="B132" s="55" t="str">
        <f t="shared" si="46"/>
        <v>54E</v>
      </c>
      <c r="C132" s="63" t="s">
        <v>175</v>
      </c>
      <c r="D132" s="60" t="s">
        <v>178</v>
      </c>
      <c r="E132" s="100">
        <f t="shared" si="43"/>
        <v>2.5</v>
      </c>
      <c r="F132" s="416">
        <f t="shared" si="44"/>
        <v>-0.05</v>
      </c>
      <c r="G132" s="48">
        <v>20391</v>
      </c>
      <c r="H132" s="81">
        <f t="shared" si="45"/>
        <v>50978</v>
      </c>
      <c r="I132" s="81">
        <f t="shared" si="45"/>
        <v>-1020</v>
      </c>
      <c r="K132" s="105"/>
      <c r="L132" s="100">
        <v>0.85</v>
      </c>
      <c r="M132" s="100">
        <v>1.65</v>
      </c>
      <c r="Q132" s="423" t="s">
        <v>445</v>
      </c>
    </row>
    <row r="133" spans="1:17" x14ac:dyDescent="0.3">
      <c r="A133" s="1">
        <f t="shared" si="22"/>
        <v>124</v>
      </c>
      <c r="B133" s="55" t="str">
        <f t="shared" si="46"/>
        <v>54E</v>
      </c>
      <c r="C133" s="63" t="s">
        <v>175</v>
      </c>
      <c r="D133" s="60" t="s">
        <v>179</v>
      </c>
      <c r="E133" s="100">
        <f t="shared" si="43"/>
        <v>3.21</v>
      </c>
      <c r="F133" s="416">
        <f t="shared" si="44"/>
        <v>-7.0000000000000007E-2</v>
      </c>
      <c r="G133" s="48">
        <v>8782</v>
      </c>
      <c r="H133" s="81">
        <f t="shared" si="45"/>
        <v>28190</v>
      </c>
      <c r="I133" s="81">
        <f t="shared" si="45"/>
        <v>-615</v>
      </c>
      <c r="K133" s="105"/>
      <c r="L133" s="100">
        <v>1.0900000000000001</v>
      </c>
      <c r="M133" s="100">
        <v>2.12</v>
      </c>
      <c r="Q133" s="423" t="s">
        <v>445</v>
      </c>
    </row>
    <row r="134" spans="1:17" x14ac:dyDescent="0.3">
      <c r="A134" s="1">
        <f t="shared" si="22"/>
        <v>125</v>
      </c>
      <c r="B134" s="55" t="str">
        <f t="shared" si="46"/>
        <v>54E</v>
      </c>
      <c r="C134" s="63" t="s">
        <v>175</v>
      </c>
      <c r="D134" s="60" t="s">
        <v>180</v>
      </c>
      <c r="E134" s="100">
        <f t="shared" si="43"/>
        <v>3.92</v>
      </c>
      <c r="F134" s="416">
        <f t="shared" si="44"/>
        <v>-0.08</v>
      </c>
      <c r="G134" s="48">
        <v>4715</v>
      </c>
      <c r="H134" s="81">
        <f t="shared" si="45"/>
        <v>18483</v>
      </c>
      <c r="I134" s="81">
        <f t="shared" si="45"/>
        <v>-377</v>
      </c>
      <c r="K134" s="105"/>
      <c r="L134" s="100">
        <v>1.33</v>
      </c>
      <c r="M134" s="100">
        <v>2.59</v>
      </c>
      <c r="Q134" s="423" t="s">
        <v>445</v>
      </c>
    </row>
    <row r="135" spans="1:17" x14ac:dyDescent="0.3">
      <c r="A135" s="1">
        <f t="shared" si="22"/>
        <v>126</v>
      </c>
      <c r="B135" s="55" t="str">
        <f t="shared" si="46"/>
        <v>54E</v>
      </c>
      <c r="C135" s="63" t="s">
        <v>175</v>
      </c>
      <c r="D135" s="60" t="s">
        <v>181</v>
      </c>
      <c r="E135" s="100">
        <f t="shared" si="43"/>
        <v>4.6400000000000006</v>
      </c>
      <c r="F135" s="416">
        <f t="shared" si="44"/>
        <v>-0.1</v>
      </c>
      <c r="G135" s="48">
        <v>190</v>
      </c>
      <c r="H135" s="81">
        <f t="shared" si="45"/>
        <v>882</v>
      </c>
      <c r="I135" s="81">
        <f t="shared" si="45"/>
        <v>-19</v>
      </c>
      <c r="K135" s="105"/>
      <c r="L135" s="100">
        <v>1.58</v>
      </c>
      <c r="M135" s="100">
        <v>3.06</v>
      </c>
      <c r="Q135" s="423" t="s">
        <v>445</v>
      </c>
    </row>
    <row r="136" spans="1:17" x14ac:dyDescent="0.3">
      <c r="A136" s="1">
        <f t="shared" si="22"/>
        <v>127</v>
      </c>
      <c r="B136" s="55" t="str">
        <f t="shared" si="46"/>
        <v>54E</v>
      </c>
      <c r="C136" s="63" t="s">
        <v>175</v>
      </c>
      <c r="D136" s="60" t="s">
        <v>182</v>
      </c>
      <c r="E136" s="100">
        <f t="shared" si="43"/>
        <v>5.36</v>
      </c>
      <c r="F136" s="416">
        <f t="shared" si="44"/>
        <v>-0.11</v>
      </c>
      <c r="G136" s="48">
        <v>458</v>
      </c>
      <c r="H136" s="81">
        <f t="shared" si="45"/>
        <v>2455</v>
      </c>
      <c r="I136" s="81">
        <f t="shared" si="45"/>
        <v>-50</v>
      </c>
      <c r="K136" s="105"/>
      <c r="L136" s="100">
        <v>1.82</v>
      </c>
      <c r="M136" s="100">
        <v>3.54</v>
      </c>
      <c r="Q136" s="423" t="s">
        <v>445</v>
      </c>
    </row>
    <row r="137" spans="1:17" x14ac:dyDescent="0.3">
      <c r="A137" s="1">
        <f t="shared" si="22"/>
        <v>128</v>
      </c>
      <c r="B137" s="55" t="str">
        <f t="shared" si="46"/>
        <v>54E</v>
      </c>
      <c r="C137" s="63" t="s">
        <v>175</v>
      </c>
      <c r="D137" s="60" t="s">
        <v>183</v>
      </c>
      <c r="E137" s="100">
        <f t="shared" si="43"/>
        <v>6.07</v>
      </c>
      <c r="F137" s="416">
        <f t="shared" si="44"/>
        <v>-0.12</v>
      </c>
      <c r="G137" s="48">
        <v>38</v>
      </c>
      <c r="H137" s="81">
        <f t="shared" si="45"/>
        <v>231</v>
      </c>
      <c r="I137" s="81">
        <f t="shared" si="45"/>
        <v>-5</v>
      </c>
      <c r="K137" s="105"/>
      <c r="L137" s="100">
        <v>2.06</v>
      </c>
      <c r="M137" s="100">
        <v>4.01</v>
      </c>
      <c r="Q137" s="423" t="s">
        <v>445</v>
      </c>
    </row>
    <row r="138" spans="1:17" x14ac:dyDescent="0.3">
      <c r="A138" s="1">
        <f t="shared" si="22"/>
        <v>129</v>
      </c>
      <c r="B138" s="55" t="str">
        <f t="shared" si="46"/>
        <v>54E</v>
      </c>
      <c r="C138" s="63" t="s">
        <v>175</v>
      </c>
      <c r="D138" s="60" t="s">
        <v>184</v>
      </c>
      <c r="E138" s="100">
        <f t="shared" si="43"/>
        <v>6.78</v>
      </c>
      <c r="F138" s="416">
        <f t="shared" si="44"/>
        <v>-0.14000000000000001</v>
      </c>
      <c r="G138" s="48">
        <v>0</v>
      </c>
      <c r="H138" s="81">
        <f t="shared" si="45"/>
        <v>0</v>
      </c>
      <c r="I138" s="81">
        <f t="shared" si="45"/>
        <v>0</v>
      </c>
      <c r="K138" s="105"/>
      <c r="L138" s="100">
        <v>2.2999999999999998</v>
      </c>
      <c r="M138" s="100">
        <v>4.4800000000000004</v>
      </c>
      <c r="Q138" s="423" t="s">
        <v>445</v>
      </c>
    </row>
    <row r="139" spans="1:17" x14ac:dyDescent="0.3">
      <c r="A139" s="1">
        <f t="shared" si="22"/>
        <v>130</v>
      </c>
      <c r="B139" s="65"/>
      <c r="C139" s="63"/>
      <c r="D139" s="63"/>
      <c r="E139" s="100"/>
      <c r="F139" s="416"/>
      <c r="G139" s="48"/>
      <c r="H139" s="48"/>
      <c r="I139" s="48"/>
      <c r="K139" s="105"/>
      <c r="L139" s="100"/>
      <c r="M139" s="100"/>
      <c r="Q139" s="423"/>
    </row>
    <row r="140" spans="1:17" x14ac:dyDescent="0.3">
      <c r="A140" s="1">
        <f t="shared" ref="A140:A199" si="47">+A139+1</f>
        <v>131</v>
      </c>
      <c r="B140" s="53" t="s">
        <v>193</v>
      </c>
      <c r="C140" s="63"/>
      <c r="D140" s="63"/>
      <c r="E140" s="100"/>
      <c r="F140" s="416"/>
      <c r="G140" s="48"/>
      <c r="H140" s="48"/>
      <c r="I140" s="48"/>
      <c r="K140" s="105"/>
      <c r="L140" s="100"/>
      <c r="M140" s="100"/>
      <c r="Q140" s="423"/>
    </row>
    <row r="141" spans="1:17" x14ac:dyDescent="0.3">
      <c r="A141" s="1">
        <f t="shared" si="47"/>
        <v>132</v>
      </c>
      <c r="B141" s="55" t="s">
        <v>194</v>
      </c>
      <c r="C141" s="63" t="s">
        <v>33</v>
      </c>
      <c r="D141" s="63">
        <v>70</v>
      </c>
      <c r="E141" s="100">
        <f t="shared" ref="E141:E146" si="48">SUM(L141:M141)</f>
        <v>1.6800000000000002</v>
      </c>
      <c r="F141" s="416">
        <f t="shared" ref="F141:F146" si="49">ROUND(+E141*$J$10,2)</f>
        <v>-0.03</v>
      </c>
      <c r="G141" s="48">
        <v>190</v>
      </c>
      <c r="H141" s="81">
        <f t="shared" ref="H141:I146" si="50">ROUND($G141*E141,0)</f>
        <v>319</v>
      </c>
      <c r="I141" s="81">
        <f t="shared" si="50"/>
        <v>-6</v>
      </c>
      <c r="K141" s="105"/>
      <c r="L141" s="100">
        <v>0.57999999999999996</v>
      </c>
      <c r="M141" s="100">
        <v>1.1000000000000001</v>
      </c>
      <c r="Q141" s="423" t="s">
        <v>447</v>
      </c>
    </row>
    <row r="142" spans="1:17" x14ac:dyDescent="0.3">
      <c r="A142" s="1">
        <f t="shared" si="47"/>
        <v>133</v>
      </c>
      <c r="B142" s="65" t="str">
        <f>+B141</f>
        <v>55E &amp; 56E</v>
      </c>
      <c r="C142" s="63" t="s">
        <v>33</v>
      </c>
      <c r="D142" s="63">
        <v>100</v>
      </c>
      <c r="E142" s="100">
        <f t="shared" si="48"/>
        <v>2.4</v>
      </c>
      <c r="F142" s="416">
        <f t="shared" si="49"/>
        <v>-0.05</v>
      </c>
      <c r="G142" s="48">
        <v>43621</v>
      </c>
      <c r="H142" s="81">
        <f t="shared" si="50"/>
        <v>104690</v>
      </c>
      <c r="I142" s="81">
        <f t="shared" si="50"/>
        <v>-2181</v>
      </c>
      <c r="K142" s="105"/>
      <c r="L142" s="100">
        <v>0.83</v>
      </c>
      <c r="M142" s="100">
        <v>1.57</v>
      </c>
      <c r="Q142" s="423" t="s">
        <v>447</v>
      </c>
    </row>
    <row r="143" spans="1:17" x14ac:dyDescent="0.3">
      <c r="A143" s="1">
        <f t="shared" si="47"/>
        <v>134</v>
      </c>
      <c r="B143" s="65" t="str">
        <f>+B142</f>
        <v>55E &amp; 56E</v>
      </c>
      <c r="C143" s="63" t="s">
        <v>33</v>
      </c>
      <c r="D143" s="63">
        <v>150</v>
      </c>
      <c r="E143" s="100">
        <f t="shared" si="48"/>
        <v>3.5999999999999996</v>
      </c>
      <c r="F143" s="416">
        <f t="shared" si="49"/>
        <v>-7.0000000000000007E-2</v>
      </c>
      <c r="G143" s="48">
        <v>5799</v>
      </c>
      <c r="H143" s="81">
        <f t="shared" si="50"/>
        <v>20876</v>
      </c>
      <c r="I143" s="81">
        <f t="shared" si="50"/>
        <v>-406</v>
      </c>
      <c r="K143" s="105"/>
      <c r="L143" s="100">
        <v>1.24</v>
      </c>
      <c r="M143" s="100">
        <v>2.36</v>
      </c>
      <c r="Q143" s="423" t="s">
        <v>447</v>
      </c>
    </row>
    <row r="144" spans="1:17" x14ac:dyDescent="0.3">
      <c r="A144" s="1">
        <f t="shared" si="47"/>
        <v>135</v>
      </c>
      <c r="B144" s="65" t="str">
        <f>+B143</f>
        <v>55E &amp; 56E</v>
      </c>
      <c r="C144" s="63" t="s">
        <v>33</v>
      </c>
      <c r="D144" s="63">
        <v>200</v>
      </c>
      <c r="E144" s="100">
        <f t="shared" si="48"/>
        <v>4.79</v>
      </c>
      <c r="F144" s="416">
        <f t="shared" si="49"/>
        <v>-0.1</v>
      </c>
      <c r="G144" s="48">
        <v>12490</v>
      </c>
      <c r="H144" s="81">
        <f t="shared" si="50"/>
        <v>59827</v>
      </c>
      <c r="I144" s="81">
        <f t="shared" si="50"/>
        <v>-1249</v>
      </c>
      <c r="K144" s="105"/>
      <c r="L144" s="100">
        <v>1.65</v>
      </c>
      <c r="M144" s="100">
        <v>3.14</v>
      </c>
      <c r="Q144" s="423" t="s">
        <v>447</v>
      </c>
    </row>
    <row r="145" spans="1:17" x14ac:dyDescent="0.3">
      <c r="A145" s="1">
        <f t="shared" si="47"/>
        <v>136</v>
      </c>
      <c r="B145" s="65" t="str">
        <f>+B144</f>
        <v>55E &amp; 56E</v>
      </c>
      <c r="C145" s="63" t="s">
        <v>33</v>
      </c>
      <c r="D145" s="63">
        <v>250</v>
      </c>
      <c r="E145" s="100">
        <f t="shared" si="48"/>
        <v>6</v>
      </c>
      <c r="F145" s="416">
        <f t="shared" si="49"/>
        <v>-0.12</v>
      </c>
      <c r="G145" s="48">
        <v>1330</v>
      </c>
      <c r="H145" s="81">
        <f t="shared" si="50"/>
        <v>7980</v>
      </c>
      <c r="I145" s="81">
        <f t="shared" si="50"/>
        <v>-160</v>
      </c>
      <c r="K145" s="105"/>
      <c r="L145" s="100">
        <v>2.0699999999999998</v>
      </c>
      <c r="M145" s="100">
        <v>3.93</v>
      </c>
      <c r="Q145" s="423" t="s">
        <v>447</v>
      </c>
    </row>
    <row r="146" spans="1:17" x14ac:dyDescent="0.3">
      <c r="A146" s="1">
        <f t="shared" si="47"/>
        <v>137</v>
      </c>
      <c r="B146" s="65" t="str">
        <f>+B145</f>
        <v>55E &amp; 56E</v>
      </c>
      <c r="C146" s="63" t="s">
        <v>33</v>
      </c>
      <c r="D146" s="63">
        <v>400</v>
      </c>
      <c r="E146" s="100">
        <f t="shared" si="48"/>
        <v>9.59</v>
      </c>
      <c r="F146" s="416">
        <f t="shared" si="49"/>
        <v>-0.2</v>
      </c>
      <c r="G146" s="48">
        <v>541</v>
      </c>
      <c r="H146" s="81">
        <f t="shared" si="50"/>
        <v>5188</v>
      </c>
      <c r="I146" s="81">
        <f t="shared" si="50"/>
        <v>-108</v>
      </c>
      <c r="K146" s="105"/>
      <c r="L146" s="100">
        <v>3.31</v>
      </c>
      <c r="M146" s="100">
        <v>6.28</v>
      </c>
      <c r="Q146" s="423" t="s">
        <v>447</v>
      </c>
    </row>
    <row r="147" spans="1:17" x14ac:dyDescent="0.3">
      <c r="A147" s="1">
        <f t="shared" si="47"/>
        <v>138</v>
      </c>
      <c r="B147" s="65"/>
      <c r="C147" s="63"/>
      <c r="D147" s="63"/>
      <c r="E147" s="100"/>
      <c r="F147" s="416"/>
      <c r="G147" s="48"/>
      <c r="H147" s="48"/>
      <c r="I147" s="48"/>
      <c r="K147" s="105"/>
      <c r="L147" s="100"/>
      <c r="M147" s="100"/>
      <c r="Q147" s="423"/>
    </row>
    <row r="148" spans="1:17" x14ac:dyDescent="0.3">
      <c r="A148" s="1">
        <f t="shared" si="47"/>
        <v>139</v>
      </c>
      <c r="B148" s="65" t="str">
        <f>+B146</f>
        <v>55E &amp; 56E</v>
      </c>
      <c r="C148" s="63" t="s">
        <v>187</v>
      </c>
      <c r="D148" s="63">
        <v>250</v>
      </c>
      <c r="E148" s="100">
        <f>SUM(L148:M148)</f>
        <v>6</v>
      </c>
      <c r="F148" s="416">
        <f>ROUND(+E148*$J$10,2)</f>
        <v>-0.12</v>
      </c>
      <c r="G148" s="48">
        <v>72</v>
      </c>
      <c r="H148" s="81">
        <f>ROUND($G148*E148,0)</f>
        <v>432</v>
      </c>
      <c r="I148" s="81">
        <f>ROUND($G148*F148,0)</f>
        <v>-9</v>
      </c>
      <c r="K148" s="105"/>
      <c r="L148" s="100">
        <v>2.0699999999999998</v>
      </c>
      <c r="M148" s="100">
        <v>3.93</v>
      </c>
      <c r="Q148" s="423" t="s">
        <v>447</v>
      </c>
    </row>
    <row r="149" spans="1:17" x14ac:dyDescent="0.3">
      <c r="A149" s="1">
        <f t="shared" si="47"/>
        <v>140</v>
      </c>
      <c r="B149" s="65"/>
      <c r="C149" s="63"/>
      <c r="D149" s="63"/>
      <c r="E149" s="100"/>
      <c r="F149" s="416"/>
      <c r="G149" s="48"/>
      <c r="H149" s="48"/>
      <c r="I149" s="48"/>
      <c r="K149" s="105"/>
      <c r="L149" s="100"/>
      <c r="M149" s="100"/>
      <c r="Q149" s="423"/>
    </row>
    <row r="150" spans="1:17" x14ac:dyDescent="0.3">
      <c r="A150" s="1">
        <f t="shared" si="47"/>
        <v>141</v>
      </c>
      <c r="B150" s="65" t="s">
        <v>194</v>
      </c>
      <c r="C150" s="63" t="s">
        <v>175</v>
      </c>
      <c r="D150" s="60" t="s">
        <v>176</v>
      </c>
      <c r="E150" s="100">
        <f t="shared" ref="E150:E158" si="51">SUM(L150:M150)</f>
        <v>1.08</v>
      </c>
      <c r="F150" s="416">
        <f t="shared" ref="F150:F158" si="52">ROUND(+E150*$J$10,2)</f>
        <v>-0.02</v>
      </c>
      <c r="G150" s="48">
        <v>7425</v>
      </c>
      <c r="H150" s="81">
        <f t="shared" ref="H150:I158" si="53">ROUND($G150*E150,0)</f>
        <v>8019</v>
      </c>
      <c r="I150" s="81">
        <f t="shared" si="53"/>
        <v>-149</v>
      </c>
      <c r="K150" s="105"/>
      <c r="L150" s="100">
        <v>0.37</v>
      </c>
      <c r="M150" s="100">
        <v>0.71</v>
      </c>
      <c r="Q150" s="423" t="s">
        <v>451</v>
      </c>
    </row>
    <row r="151" spans="1:17" x14ac:dyDescent="0.3">
      <c r="A151" s="1">
        <f t="shared" si="47"/>
        <v>142</v>
      </c>
      <c r="B151" s="65" t="s">
        <v>194</v>
      </c>
      <c r="C151" s="63" t="s">
        <v>175</v>
      </c>
      <c r="D151" s="60" t="s">
        <v>177</v>
      </c>
      <c r="E151" s="100">
        <f t="shared" si="51"/>
        <v>1.7999999999999998</v>
      </c>
      <c r="F151" s="416">
        <f t="shared" si="52"/>
        <v>-0.04</v>
      </c>
      <c r="G151" s="48">
        <v>93</v>
      </c>
      <c r="H151" s="81">
        <f t="shared" si="53"/>
        <v>167</v>
      </c>
      <c r="I151" s="81">
        <f t="shared" si="53"/>
        <v>-4</v>
      </c>
      <c r="K151" s="105"/>
      <c r="L151" s="100">
        <v>0.62</v>
      </c>
      <c r="M151" s="100">
        <v>1.18</v>
      </c>
      <c r="Q151" s="423" t="s">
        <v>451</v>
      </c>
    </row>
    <row r="152" spans="1:17" x14ac:dyDescent="0.3">
      <c r="A152" s="1">
        <f t="shared" si="47"/>
        <v>143</v>
      </c>
      <c r="B152" s="65" t="s">
        <v>194</v>
      </c>
      <c r="C152" s="63" t="s">
        <v>175</v>
      </c>
      <c r="D152" s="60" t="s">
        <v>178</v>
      </c>
      <c r="E152" s="100">
        <f t="shared" si="51"/>
        <v>2.52</v>
      </c>
      <c r="F152" s="416">
        <f t="shared" si="52"/>
        <v>-0.05</v>
      </c>
      <c r="G152" s="48">
        <v>1806</v>
      </c>
      <c r="H152" s="81">
        <f>ROUND($G152*E152,0)</f>
        <v>4551</v>
      </c>
      <c r="I152" s="81">
        <f t="shared" si="53"/>
        <v>-90</v>
      </c>
      <c r="K152" s="105"/>
      <c r="L152" s="100">
        <v>0.87</v>
      </c>
      <c r="M152" s="100">
        <v>1.65</v>
      </c>
      <c r="Q152" s="423" t="s">
        <v>451</v>
      </c>
    </row>
    <row r="153" spans="1:17" x14ac:dyDescent="0.3">
      <c r="A153" s="1">
        <f t="shared" si="47"/>
        <v>144</v>
      </c>
      <c r="B153" s="65" t="s">
        <v>194</v>
      </c>
      <c r="C153" s="63" t="s">
        <v>175</v>
      </c>
      <c r="D153" s="60" t="s">
        <v>179</v>
      </c>
      <c r="E153" s="100">
        <f t="shared" si="51"/>
        <v>3.24</v>
      </c>
      <c r="F153" s="416">
        <f t="shared" si="52"/>
        <v>-7.0000000000000007E-2</v>
      </c>
      <c r="G153" s="48">
        <v>0</v>
      </c>
      <c r="H153" s="81">
        <f t="shared" si="53"/>
        <v>0</v>
      </c>
      <c r="I153" s="81">
        <f t="shared" si="53"/>
        <v>0</v>
      </c>
      <c r="K153" s="105"/>
      <c r="L153" s="100">
        <v>1.1200000000000001</v>
      </c>
      <c r="M153" s="100">
        <v>2.12</v>
      </c>
      <c r="Q153" s="423" t="s">
        <v>451</v>
      </c>
    </row>
    <row r="154" spans="1:17" x14ac:dyDescent="0.3">
      <c r="A154" s="1">
        <f t="shared" si="47"/>
        <v>145</v>
      </c>
      <c r="B154" s="65" t="s">
        <v>194</v>
      </c>
      <c r="C154" s="63" t="s">
        <v>175</v>
      </c>
      <c r="D154" s="60" t="s">
        <v>180</v>
      </c>
      <c r="E154" s="100">
        <f t="shared" si="51"/>
        <v>3.95</v>
      </c>
      <c r="F154" s="416">
        <f t="shared" si="52"/>
        <v>-0.08</v>
      </c>
      <c r="G154" s="48">
        <v>0</v>
      </c>
      <c r="H154" s="81">
        <f t="shared" si="53"/>
        <v>0</v>
      </c>
      <c r="I154" s="81">
        <f t="shared" si="53"/>
        <v>0</v>
      </c>
      <c r="K154" s="105"/>
      <c r="L154" s="100">
        <v>1.36</v>
      </c>
      <c r="M154" s="100">
        <v>2.59</v>
      </c>
      <c r="Q154" s="423" t="s">
        <v>451</v>
      </c>
    </row>
    <row r="155" spans="1:17" x14ac:dyDescent="0.3">
      <c r="A155" s="1">
        <f t="shared" si="47"/>
        <v>146</v>
      </c>
      <c r="B155" s="65" t="s">
        <v>194</v>
      </c>
      <c r="C155" s="63" t="s">
        <v>175</v>
      </c>
      <c r="D155" s="60" t="s">
        <v>181</v>
      </c>
      <c r="E155" s="100">
        <f t="shared" si="51"/>
        <v>4.67</v>
      </c>
      <c r="F155" s="416">
        <f t="shared" si="52"/>
        <v>-0.1</v>
      </c>
      <c r="G155" s="48">
        <v>0</v>
      </c>
      <c r="H155" s="81">
        <f t="shared" si="53"/>
        <v>0</v>
      </c>
      <c r="I155" s="81">
        <f t="shared" si="53"/>
        <v>0</v>
      </c>
      <c r="K155" s="105"/>
      <c r="L155" s="100">
        <v>1.61</v>
      </c>
      <c r="M155" s="100">
        <v>3.06</v>
      </c>
      <c r="Q155" s="423" t="s">
        <v>451</v>
      </c>
    </row>
    <row r="156" spans="1:17" x14ac:dyDescent="0.3">
      <c r="A156" s="1">
        <f t="shared" si="47"/>
        <v>147</v>
      </c>
      <c r="B156" s="65" t="s">
        <v>194</v>
      </c>
      <c r="C156" s="63" t="s">
        <v>175</v>
      </c>
      <c r="D156" s="60" t="s">
        <v>182</v>
      </c>
      <c r="E156" s="100">
        <f t="shared" si="51"/>
        <v>5.4</v>
      </c>
      <c r="F156" s="416">
        <f t="shared" si="52"/>
        <v>-0.11</v>
      </c>
      <c r="G156" s="48">
        <v>0</v>
      </c>
      <c r="H156" s="81">
        <f t="shared" si="53"/>
        <v>0</v>
      </c>
      <c r="I156" s="81">
        <f t="shared" si="53"/>
        <v>0</v>
      </c>
      <c r="K156" s="105"/>
      <c r="L156" s="100">
        <v>1.86</v>
      </c>
      <c r="M156" s="100">
        <v>3.54</v>
      </c>
      <c r="Q156" s="423" t="s">
        <v>451</v>
      </c>
    </row>
    <row r="157" spans="1:17" x14ac:dyDescent="0.3">
      <c r="A157" s="1">
        <f t="shared" si="47"/>
        <v>148</v>
      </c>
      <c r="B157" s="65" t="s">
        <v>194</v>
      </c>
      <c r="C157" s="63" t="s">
        <v>175</v>
      </c>
      <c r="D157" s="60" t="s">
        <v>183</v>
      </c>
      <c r="E157" s="100">
        <f t="shared" si="51"/>
        <v>6.1199999999999992</v>
      </c>
      <c r="F157" s="416">
        <f t="shared" si="52"/>
        <v>-0.13</v>
      </c>
      <c r="G157" s="48">
        <v>0</v>
      </c>
      <c r="H157" s="81">
        <f t="shared" si="53"/>
        <v>0</v>
      </c>
      <c r="I157" s="81">
        <f t="shared" si="53"/>
        <v>0</v>
      </c>
      <c r="K157" s="105"/>
      <c r="L157" s="100">
        <v>2.11</v>
      </c>
      <c r="M157" s="100">
        <v>4.01</v>
      </c>
      <c r="Q157" s="423" t="s">
        <v>451</v>
      </c>
    </row>
    <row r="158" spans="1:17" x14ac:dyDescent="0.3">
      <c r="A158" s="1">
        <f t="shared" si="47"/>
        <v>149</v>
      </c>
      <c r="B158" s="65" t="s">
        <v>194</v>
      </c>
      <c r="C158" s="63" t="s">
        <v>175</v>
      </c>
      <c r="D158" s="60" t="s">
        <v>184</v>
      </c>
      <c r="E158" s="100">
        <f t="shared" si="51"/>
        <v>6.84</v>
      </c>
      <c r="F158" s="416">
        <f t="shared" si="52"/>
        <v>-0.14000000000000001</v>
      </c>
      <c r="G158" s="48">
        <v>0</v>
      </c>
      <c r="H158" s="81">
        <f t="shared" si="53"/>
        <v>0</v>
      </c>
      <c r="I158" s="81">
        <f t="shared" si="53"/>
        <v>0</v>
      </c>
      <c r="K158" s="105"/>
      <c r="L158" s="100">
        <v>2.36</v>
      </c>
      <c r="M158" s="100">
        <v>4.4800000000000004</v>
      </c>
      <c r="Q158" s="423" t="s">
        <v>451</v>
      </c>
    </row>
    <row r="159" spans="1:17" x14ac:dyDescent="0.3">
      <c r="A159" s="1">
        <f t="shared" si="47"/>
        <v>150</v>
      </c>
      <c r="B159" s="65"/>
      <c r="C159" s="63"/>
      <c r="D159" s="63"/>
      <c r="E159" s="100"/>
      <c r="F159" s="416"/>
      <c r="G159" s="48"/>
      <c r="H159" s="48"/>
      <c r="I159" s="48"/>
      <c r="K159" s="105"/>
      <c r="L159" s="100"/>
      <c r="M159" s="100"/>
      <c r="Q159" s="423"/>
    </row>
    <row r="160" spans="1:17" x14ac:dyDescent="0.3">
      <c r="A160" s="1">
        <f t="shared" si="47"/>
        <v>151</v>
      </c>
      <c r="B160" s="53" t="s">
        <v>195</v>
      </c>
      <c r="C160" s="63"/>
      <c r="D160" s="63"/>
      <c r="E160" s="100"/>
      <c r="F160" s="416"/>
      <c r="G160" s="48"/>
      <c r="H160" s="48"/>
      <c r="I160" s="48"/>
      <c r="K160" s="105"/>
      <c r="L160" s="100"/>
      <c r="M160" s="100"/>
      <c r="Q160" s="423"/>
    </row>
    <row r="161" spans="1:17" x14ac:dyDescent="0.3">
      <c r="A161" s="1">
        <f t="shared" si="47"/>
        <v>152</v>
      </c>
      <c r="B161" s="65" t="s">
        <v>196</v>
      </c>
      <c r="C161" s="63" t="s">
        <v>197</v>
      </c>
      <c r="D161" s="63">
        <v>0</v>
      </c>
      <c r="E161" s="106">
        <f>SUM(L161:M161)</f>
        <v>4.0503031935840726E-2</v>
      </c>
      <c r="F161" s="106">
        <f>ROUND(+E161*$J$10,5)</f>
        <v>-8.3000000000000001E-4</v>
      </c>
      <c r="G161" s="48">
        <v>10664502</v>
      </c>
      <c r="H161" s="81">
        <f>ROUND($G161*E161,0)</f>
        <v>431945</v>
      </c>
      <c r="I161" s="81">
        <f>ROUND($G161*F161,0)</f>
        <v>-8852</v>
      </c>
      <c r="K161" s="105"/>
      <c r="L161" s="106">
        <v>7.7314432705327864E-3</v>
      </c>
      <c r="M161" s="106">
        <v>3.2771588665307938E-2</v>
      </c>
      <c r="O161"/>
      <c r="Q161" s="423" t="s">
        <v>449</v>
      </c>
    </row>
    <row r="162" spans="1:17" x14ac:dyDescent="0.3">
      <c r="A162" s="1">
        <f t="shared" si="47"/>
        <v>153</v>
      </c>
      <c r="B162" s="65"/>
      <c r="C162" s="63"/>
      <c r="D162" s="63"/>
      <c r="E162" s="100"/>
      <c r="F162" s="416"/>
      <c r="G162" s="48"/>
      <c r="H162" s="48"/>
      <c r="I162" s="48"/>
      <c r="K162" s="105"/>
      <c r="L162"/>
      <c r="M162"/>
      <c r="O162"/>
      <c r="Q162" s="423"/>
    </row>
    <row r="163" spans="1:17" x14ac:dyDescent="0.3">
      <c r="A163" s="1">
        <f t="shared" si="47"/>
        <v>154</v>
      </c>
      <c r="B163" s="53" t="s">
        <v>198</v>
      </c>
      <c r="C163" s="63"/>
      <c r="D163" s="63"/>
      <c r="E163" s="100"/>
      <c r="F163" s="416"/>
      <c r="G163" s="48"/>
      <c r="H163" s="48"/>
      <c r="I163" s="48"/>
      <c r="K163" s="105"/>
      <c r="L163" s="100"/>
      <c r="M163" s="100"/>
      <c r="Q163" s="423"/>
    </row>
    <row r="164" spans="1:17" x14ac:dyDescent="0.3">
      <c r="A164" s="1">
        <f t="shared" si="47"/>
        <v>155</v>
      </c>
      <c r="B164" s="55" t="s">
        <v>199</v>
      </c>
      <c r="C164" s="63" t="s">
        <v>33</v>
      </c>
      <c r="D164" s="66">
        <v>70</v>
      </c>
      <c r="E164" s="100">
        <f t="shared" ref="E164:E183" si="54">SUM(L164:M164)</f>
        <v>1.6800000000000002</v>
      </c>
      <c r="F164" s="416">
        <f t="shared" ref="F164:F169" si="55">ROUND(+E164*$J$10,2)</f>
        <v>-0.03</v>
      </c>
      <c r="G164" s="48">
        <v>633</v>
      </c>
      <c r="H164" s="81">
        <f t="shared" ref="H164:I169" si="56">ROUND($G164*E164,0)</f>
        <v>1063</v>
      </c>
      <c r="I164" s="81">
        <f t="shared" si="56"/>
        <v>-19</v>
      </c>
      <c r="K164" s="105"/>
      <c r="L164" s="100">
        <v>0.57999999999999996</v>
      </c>
      <c r="M164" s="100">
        <v>1.1000000000000001</v>
      </c>
      <c r="Q164" s="423" t="s">
        <v>449</v>
      </c>
    </row>
    <row r="165" spans="1:17" x14ac:dyDescent="0.3">
      <c r="A165" s="1">
        <f t="shared" si="47"/>
        <v>156</v>
      </c>
      <c r="B165" s="65" t="str">
        <f>+B164</f>
        <v>58E &amp; 59E - Directional</v>
      </c>
      <c r="C165" s="63" t="s">
        <v>33</v>
      </c>
      <c r="D165" s="66">
        <v>100</v>
      </c>
      <c r="E165" s="100">
        <f t="shared" si="54"/>
        <v>2.4</v>
      </c>
      <c r="F165" s="416">
        <f t="shared" si="55"/>
        <v>-0.05</v>
      </c>
      <c r="G165" s="48">
        <v>0</v>
      </c>
      <c r="H165" s="81">
        <f t="shared" si="56"/>
        <v>0</v>
      </c>
      <c r="I165" s="81">
        <f t="shared" si="56"/>
        <v>0</v>
      </c>
      <c r="K165" s="105"/>
      <c r="L165" s="100">
        <v>0.83</v>
      </c>
      <c r="M165" s="100">
        <v>1.57</v>
      </c>
      <c r="Q165" s="423" t="s">
        <v>449</v>
      </c>
    </row>
    <row r="166" spans="1:17" x14ac:dyDescent="0.3">
      <c r="A166" s="1">
        <f t="shared" si="47"/>
        <v>157</v>
      </c>
      <c r="B166" s="65" t="str">
        <f>+B165</f>
        <v>58E &amp; 59E - Directional</v>
      </c>
      <c r="C166" s="63" t="s">
        <v>33</v>
      </c>
      <c r="D166" s="66">
        <v>150</v>
      </c>
      <c r="E166" s="100">
        <f t="shared" si="54"/>
        <v>3.5999999999999996</v>
      </c>
      <c r="F166" s="416">
        <f t="shared" si="55"/>
        <v>-7.0000000000000007E-2</v>
      </c>
      <c r="G166" s="48">
        <v>1853</v>
      </c>
      <c r="H166" s="81">
        <f t="shared" si="56"/>
        <v>6671</v>
      </c>
      <c r="I166" s="81">
        <f t="shared" si="56"/>
        <v>-130</v>
      </c>
      <c r="K166" s="105"/>
      <c r="L166" s="100">
        <v>1.24</v>
      </c>
      <c r="M166" s="100">
        <v>2.36</v>
      </c>
      <c r="Q166" s="423" t="s">
        <v>449</v>
      </c>
    </row>
    <row r="167" spans="1:17" x14ac:dyDescent="0.3">
      <c r="A167" s="1">
        <f t="shared" si="47"/>
        <v>158</v>
      </c>
      <c r="B167" s="65" t="str">
        <f>+B166</f>
        <v>58E &amp; 59E - Directional</v>
      </c>
      <c r="C167" s="63" t="s">
        <v>33</v>
      </c>
      <c r="D167" s="63">
        <v>200</v>
      </c>
      <c r="E167" s="100">
        <f t="shared" si="54"/>
        <v>4.79</v>
      </c>
      <c r="F167" s="416">
        <f t="shared" si="55"/>
        <v>-0.1</v>
      </c>
      <c r="G167" s="48">
        <v>3190</v>
      </c>
      <c r="H167" s="81">
        <f t="shared" si="56"/>
        <v>15280</v>
      </c>
      <c r="I167" s="81">
        <f t="shared" si="56"/>
        <v>-319</v>
      </c>
      <c r="K167" s="105"/>
      <c r="L167" s="100">
        <v>1.65</v>
      </c>
      <c r="M167" s="100">
        <v>3.14</v>
      </c>
      <c r="Q167" s="423" t="s">
        <v>449</v>
      </c>
    </row>
    <row r="168" spans="1:17" x14ac:dyDescent="0.3">
      <c r="A168" s="1">
        <f t="shared" si="47"/>
        <v>159</v>
      </c>
      <c r="B168" s="65" t="str">
        <f>+B167</f>
        <v>58E &amp; 59E - Directional</v>
      </c>
      <c r="C168" s="63" t="s">
        <v>33</v>
      </c>
      <c r="D168" s="63">
        <v>250</v>
      </c>
      <c r="E168" s="100">
        <f t="shared" si="54"/>
        <v>6</v>
      </c>
      <c r="F168" s="416">
        <f t="shared" si="55"/>
        <v>-0.12</v>
      </c>
      <c r="G168" s="48">
        <v>468</v>
      </c>
      <c r="H168" s="81">
        <f t="shared" si="56"/>
        <v>2808</v>
      </c>
      <c r="I168" s="81">
        <f t="shared" si="56"/>
        <v>-56</v>
      </c>
      <c r="K168" s="105"/>
      <c r="L168" s="100">
        <v>2.0699999999999998</v>
      </c>
      <c r="M168" s="100">
        <v>3.93</v>
      </c>
      <c r="Q168" s="423" t="s">
        <v>449</v>
      </c>
    </row>
    <row r="169" spans="1:17" x14ac:dyDescent="0.3">
      <c r="A169" s="1">
        <f t="shared" si="47"/>
        <v>160</v>
      </c>
      <c r="B169" s="65" t="str">
        <f>+B168</f>
        <v>58E &amp; 59E - Directional</v>
      </c>
      <c r="C169" s="63" t="s">
        <v>33</v>
      </c>
      <c r="D169" s="63">
        <v>400</v>
      </c>
      <c r="E169" s="100">
        <f t="shared" si="54"/>
        <v>9.59</v>
      </c>
      <c r="F169" s="416">
        <f t="shared" si="55"/>
        <v>-0.2</v>
      </c>
      <c r="G169" s="48">
        <v>4191</v>
      </c>
      <c r="H169" s="81">
        <f t="shared" si="56"/>
        <v>40192</v>
      </c>
      <c r="I169" s="81">
        <f t="shared" si="56"/>
        <v>-838</v>
      </c>
      <c r="K169" s="105"/>
      <c r="L169" s="100">
        <v>3.31</v>
      </c>
      <c r="M169" s="100">
        <v>6.28</v>
      </c>
      <c r="Q169" s="423" t="s">
        <v>449</v>
      </c>
    </row>
    <row r="170" spans="1:17" x14ac:dyDescent="0.3">
      <c r="A170" s="1">
        <f t="shared" si="47"/>
        <v>161</v>
      </c>
      <c r="B170" s="65"/>
      <c r="C170" s="63"/>
      <c r="D170" s="63"/>
      <c r="E170" s="100"/>
      <c r="F170" s="416"/>
      <c r="G170" s="48"/>
      <c r="H170" s="48"/>
      <c r="I170" s="48"/>
      <c r="K170" s="105"/>
      <c r="L170" s="100"/>
      <c r="M170" s="100"/>
      <c r="Q170" s="423"/>
    </row>
    <row r="171" spans="1:17" x14ac:dyDescent="0.3">
      <c r="A171" s="1">
        <f t="shared" si="47"/>
        <v>162</v>
      </c>
      <c r="B171" s="55" t="s">
        <v>200</v>
      </c>
      <c r="C171" s="63" t="s">
        <v>33</v>
      </c>
      <c r="D171" s="63">
        <v>100</v>
      </c>
      <c r="E171" s="100">
        <f t="shared" si="54"/>
        <v>2.4</v>
      </c>
      <c r="F171" s="416">
        <f>ROUND(+E171*$J$10,2)</f>
        <v>-0.05</v>
      </c>
      <c r="G171" s="48">
        <v>6</v>
      </c>
      <c r="H171" s="81">
        <f t="shared" ref="H171:I175" si="57">ROUND($G171*E171,0)</f>
        <v>14</v>
      </c>
      <c r="I171" s="81">
        <f t="shared" si="57"/>
        <v>0</v>
      </c>
      <c r="K171" s="105"/>
      <c r="L171" s="100">
        <v>0.83</v>
      </c>
      <c r="M171" s="100">
        <v>1.57</v>
      </c>
      <c r="Q171" s="423" t="s">
        <v>450</v>
      </c>
    </row>
    <row r="172" spans="1:17" x14ac:dyDescent="0.3">
      <c r="A172" s="1">
        <f t="shared" si="47"/>
        <v>163</v>
      </c>
      <c r="B172" s="65" t="str">
        <f>B171</f>
        <v>58E &amp; 59E - Horizontal</v>
      </c>
      <c r="C172" s="63" t="s">
        <v>33</v>
      </c>
      <c r="D172" s="63">
        <v>150</v>
      </c>
      <c r="E172" s="100">
        <f t="shared" si="54"/>
        <v>3.5999999999999996</v>
      </c>
      <c r="F172" s="416">
        <f>ROUND(+E172*$J$10,2)</f>
        <v>-7.0000000000000007E-2</v>
      </c>
      <c r="G172" s="48">
        <v>180</v>
      </c>
      <c r="H172" s="81">
        <f t="shared" si="57"/>
        <v>648</v>
      </c>
      <c r="I172" s="81">
        <f t="shared" si="57"/>
        <v>-13</v>
      </c>
      <c r="K172" s="105"/>
      <c r="L172" s="100">
        <v>1.24</v>
      </c>
      <c r="M172" s="100">
        <v>2.36</v>
      </c>
      <c r="Q172" s="423" t="s">
        <v>450</v>
      </c>
    </row>
    <row r="173" spans="1:17" x14ac:dyDescent="0.3">
      <c r="A173" s="1">
        <f t="shared" si="47"/>
        <v>164</v>
      </c>
      <c r="B173" s="65" t="str">
        <f>B172</f>
        <v>58E &amp; 59E - Horizontal</v>
      </c>
      <c r="C173" s="63" t="s">
        <v>33</v>
      </c>
      <c r="D173" s="63">
        <v>200</v>
      </c>
      <c r="E173" s="100">
        <f t="shared" si="54"/>
        <v>4.79</v>
      </c>
      <c r="F173" s="416">
        <f>ROUND(+E173*$J$10,2)</f>
        <v>-0.1</v>
      </c>
      <c r="G173" s="48">
        <v>108</v>
      </c>
      <c r="H173" s="81">
        <f t="shared" si="57"/>
        <v>517</v>
      </c>
      <c r="I173" s="81">
        <f t="shared" si="57"/>
        <v>-11</v>
      </c>
      <c r="K173" s="105"/>
      <c r="L173" s="100">
        <v>1.65</v>
      </c>
      <c r="M173" s="100">
        <v>3.14</v>
      </c>
      <c r="Q173" s="423" t="s">
        <v>450</v>
      </c>
    </row>
    <row r="174" spans="1:17" x14ac:dyDescent="0.3">
      <c r="A174" s="1">
        <f t="shared" si="47"/>
        <v>165</v>
      </c>
      <c r="B174" s="65" t="str">
        <f>B173</f>
        <v>58E &amp; 59E - Horizontal</v>
      </c>
      <c r="C174" s="63" t="s">
        <v>33</v>
      </c>
      <c r="D174" s="63">
        <v>250</v>
      </c>
      <c r="E174" s="100">
        <f t="shared" si="54"/>
        <v>6</v>
      </c>
      <c r="F174" s="416">
        <f>ROUND(+E174*$J$10,2)</f>
        <v>-0.12</v>
      </c>
      <c r="G174" s="48">
        <v>401</v>
      </c>
      <c r="H174" s="81">
        <f t="shared" si="57"/>
        <v>2406</v>
      </c>
      <c r="I174" s="81">
        <f t="shared" si="57"/>
        <v>-48</v>
      </c>
      <c r="K174" s="105"/>
      <c r="L174" s="100">
        <v>2.0699999999999998</v>
      </c>
      <c r="M174" s="100">
        <v>3.93</v>
      </c>
      <c r="Q174" s="423" t="s">
        <v>450</v>
      </c>
    </row>
    <row r="175" spans="1:17" x14ac:dyDescent="0.3">
      <c r="A175" s="1">
        <f t="shared" si="47"/>
        <v>166</v>
      </c>
      <c r="B175" s="65" t="str">
        <f>B174</f>
        <v>58E &amp; 59E - Horizontal</v>
      </c>
      <c r="C175" s="63" t="s">
        <v>33</v>
      </c>
      <c r="D175" s="63">
        <v>400</v>
      </c>
      <c r="E175" s="100">
        <f t="shared" si="54"/>
        <v>9.59</v>
      </c>
      <c r="F175" s="416">
        <f>ROUND(+E175*$J$10,2)</f>
        <v>-0.2</v>
      </c>
      <c r="G175" s="48">
        <v>579</v>
      </c>
      <c r="H175" s="81">
        <f t="shared" si="57"/>
        <v>5553</v>
      </c>
      <c r="I175" s="81">
        <f t="shared" si="57"/>
        <v>-116</v>
      </c>
      <c r="K175" s="105"/>
      <c r="L175" s="100">
        <v>3.31</v>
      </c>
      <c r="M175" s="100">
        <v>6.28</v>
      </c>
      <c r="Q175" s="423" t="s">
        <v>450</v>
      </c>
    </row>
    <row r="176" spans="1:17" x14ac:dyDescent="0.3">
      <c r="A176" s="1">
        <f t="shared" si="47"/>
        <v>167</v>
      </c>
      <c r="B176" s="65"/>
      <c r="C176" s="63"/>
      <c r="D176" s="63"/>
      <c r="F176" s="416"/>
      <c r="G176" s="48"/>
      <c r="H176" s="48"/>
      <c r="I176" s="48"/>
      <c r="K176" s="105"/>
      <c r="L176" s="100"/>
      <c r="M176" s="100"/>
      <c r="Q176" s="423"/>
    </row>
    <row r="177" spans="1:17" x14ac:dyDescent="0.3">
      <c r="A177" s="1">
        <f t="shared" si="47"/>
        <v>168</v>
      </c>
      <c r="B177" s="65" t="str">
        <f>B165</f>
        <v>58E &amp; 59E - Directional</v>
      </c>
      <c r="C177" s="63" t="s">
        <v>187</v>
      </c>
      <c r="D177" s="63">
        <v>175</v>
      </c>
      <c r="E177" s="100">
        <f t="shared" si="54"/>
        <v>4.2</v>
      </c>
      <c r="F177" s="416">
        <f>ROUND(+E177*$J$10,2)</f>
        <v>-0.09</v>
      </c>
      <c r="G177" s="48">
        <v>36</v>
      </c>
      <c r="H177" s="81">
        <f t="shared" ref="H177:I180" si="58">ROUND($G177*E177,0)</f>
        <v>151</v>
      </c>
      <c r="I177" s="81">
        <f t="shared" si="58"/>
        <v>-3</v>
      </c>
      <c r="K177" s="105"/>
      <c r="L177" s="100">
        <v>1.45</v>
      </c>
      <c r="M177" s="100">
        <v>2.75</v>
      </c>
      <c r="Q177" s="423" t="s">
        <v>449</v>
      </c>
    </row>
    <row r="178" spans="1:17" x14ac:dyDescent="0.3">
      <c r="A178" s="1">
        <f t="shared" si="47"/>
        <v>169</v>
      </c>
      <c r="B178" s="65" t="str">
        <f>B177</f>
        <v>58E &amp; 59E - Directional</v>
      </c>
      <c r="C178" s="63" t="s">
        <v>187</v>
      </c>
      <c r="D178" s="63">
        <v>250</v>
      </c>
      <c r="E178" s="100">
        <f t="shared" si="54"/>
        <v>6</v>
      </c>
      <c r="F178" s="416">
        <f>ROUND(+E178*$J$10,2)</f>
        <v>-0.12</v>
      </c>
      <c r="G178" s="48">
        <v>206</v>
      </c>
      <c r="H178" s="81">
        <f t="shared" si="58"/>
        <v>1236</v>
      </c>
      <c r="I178" s="81">
        <f t="shared" si="58"/>
        <v>-25</v>
      </c>
      <c r="K178" s="105"/>
      <c r="L178" s="100">
        <v>2.0699999999999998</v>
      </c>
      <c r="M178" s="100">
        <v>3.93</v>
      </c>
      <c r="Q178" s="423" t="s">
        <v>449</v>
      </c>
    </row>
    <row r="179" spans="1:17" x14ac:dyDescent="0.3">
      <c r="A179" s="1">
        <f t="shared" si="47"/>
        <v>170</v>
      </c>
      <c r="B179" s="65" t="str">
        <f>B178</f>
        <v>58E &amp; 59E - Directional</v>
      </c>
      <c r="C179" s="63" t="s">
        <v>187</v>
      </c>
      <c r="D179" s="63">
        <v>400</v>
      </c>
      <c r="E179" s="100">
        <f t="shared" si="54"/>
        <v>9.59</v>
      </c>
      <c r="F179" s="416">
        <f>ROUND(+E179*$J$10,2)</f>
        <v>-0.2</v>
      </c>
      <c r="G179" s="48">
        <v>1036</v>
      </c>
      <c r="H179" s="81">
        <f t="shared" si="58"/>
        <v>9935</v>
      </c>
      <c r="I179" s="81">
        <f t="shared" si="58"/>
        <v>-207</v>
      </c>
      <c r="K179" s="105"/>
      <c r="L179" s="100">
        <v>3.31</v>
      </c>
      <c r="M179" s="100">
        <v>6.28</v>
      </c>
      <c r="Q179" s="423" t="s">
        <v>449</v>
      </c>
    </row>
    <row r="180" spans="1:17" x14ac:dyDescent="0.3">
      <c r="A180" s="1">
        <f t="shared" si="47"/>
        <v>171</v>
      </c>
      <c r="B180" s="65" t="str">
        <f>B179</f>
        <v>58E &amp; 59E - Directional</v>
      </c>
      <c r="C180" s="63" t="s">
        <v>187</v>
      </c>
      <c r="D180" s="63">
        <v>1000</v>
      </c>
      <c r="E180" s="100">
        <f t="shared" si="54"/>
        <v>23.98</v>
      </c>
      <c r="F180" s="416">
        <f>ROUND(+E180*$J$10,2)</f>
        <v>-0.49</v>
      </c>
      <c r="G180" s="48">
        <v>1520</v>
      </c>
      <c r="H180" s="81">
        <f t="shared" si="58"/>
        <v>36450</v>
      </c>
      <c r="I180" s="81">
        <f t="shared" si="58"/>
        <v>-745</v>
      </c>
      <c r="K180" s="105"/>
      <c r="L180" s="100">
        <v>8.27</v>
      </c>
      <c r="M180" s="100">
        <v>15.71</v>
      </c>
      <c r="Q180" s="423" t="s">
        <v>449</v>
      </c>
    </row>
    <row r="181" spans="1:17" x14ac:dyDescent="0.3">
      <c r="A181" s="1">
        <f t="shared" si="47"/>
        <v>172</v>
      </c>
      <c r="B181" s="65"/>
      <c r="C181" s="63"/>
      <c r="D181" s="63"/>
      <c r="F181" s="416"/>
      <c r="G181" s="48"/>
      <c r="H181" s="48"/>
      <c r="I181" s="48"/>
      <c r="K181" s="105"/>
      <c r="L181" s="100"/>
      <c r="M181" s="100"/>
      <c r="Q181" s="423"/>
    </row>
    <row r="182" spans="1:17" x14ac:dyDescent="0.3">
      <c r="A182" s="1">
        <f t="shared" si="47"/>
        <v>173</v>
      </c>
      <c r="B182" s="65" t="str">
        <f>B171</f>
        <v>58E &amp; 59E - Horizontal</v>
      </c>
      <c r="C182" s="63" t="s">
        <v>187</v>
      </c>
      <c r="D182" s="63">
        <v>250</v>
      </c>
      <c r="E182" s="100">
        <f t="shared" si="54"/>
        <v>6</v>
      </c>
      <c r="F182" s="416">
        <f>ROUND(+E182*$J$10,2)</f>
        <v>-0.12</v>
      </c>
      <c r="G182" s="48">
        <v>120</v>
      </c>
      <c r="H182" s="81">
        <f t="shared" ref="H182:I183" si="59">ROUND($G182*E182,0)</f>
        <v>720</v>
      </c>
      <c r="I182" s="81">
        <f t="shared" si="59"/>
        <v>-14</v>
      </c>
      <c r="K182" s="105"/>
      <c r="L182" s="100">
        <v>2.0699999999999998</v>
      </c>
      <c r="M182" s="100">
        <v>3.93</v>
      </c>
      <c r="Q182" s="423" t="s">
        <v>450</v>
      </c>
    </row>
    <row r="183" spans="1:17" x14ac:dyDescent="0.3">
      <c r="A183" s="1">
        <f t="shared" si="47"/>
        <v>174</v>
      </c>
      <c r="B183" s="65" t="str">
        <f>B182</f>
        <v>58E &amp; 59E - Horizontal</v>
      </c>
      <c r="C183" s="63" t="s">
        <v>187</v>
      </c>
      <c r="D183" s="63">
        <v>400</v>
      </c>
      <c r="E183" s="100">
        <f t="shared" si="54"/>
        <v>9.59</v>
      </c>
      <c r="F183" s="416">
        <f>ROUND(+E183*$J$10,2)</f>
        <v>-0.2</v>
      </c>
      <c r="G183" s="48">
        <v>480</v>
      </c>
      <c r="H183" s="81">
        <f t="shared" si="59"/>
        <v>4603</v>
      </c>
      <c r="I183" s="81">
        <f t="shared" si="59"/>
        <v>-96</v>
      </c>
      <c r="K183" s="105"/>
      <c r="L183" s="100">
        <v>3.31</v>
      </c>
      <c r="M183" s="100">
        <v>6.28</v>
      </c>
      <c r="Q183" s="423" t="s">
        <v>450</v>
      </c>
    </row>
    <row r="184" spans="1:17" x14ac:dyDescent="0.3">
      <c r="A184" s="333">
        <f t="shared" si="47"/>
        <v>175</v>
      </c>
      <c r="B184" s="65"/>
      <c r="C184" s="63"/>
      <c r="D184" s="63"/>
      <c r="F184" s="416"/>
      <c r="G184" s="48"/>
      <c r="H184" s="48"/>
      <c r="I184" s="48"/>
      <c r="K184" s="105"/>
      <c r="L184" s="100"/>
      <c r="M184" s="100"/>
      <c r="Q184" s="423"/>
    </row>
    <row r="185" spans="1:17" x14ac:dyDescent="0.3">
      <c r="A185" s="333">
        <f t="shared" si="47"/>
        <v>176</v>
      </c>
      <c r="B185" s="65" t="s">
        <v>201</v>
      </c>
      <c r="C185" s="63" t="s">
        <v>175</v>
      </c>
      <c r="D185" s="60" t="s">
        <v>176</v>
      </c>
      <c r="E185" s="100">
        <f t="shared" ref="E185:E199" si="60">SUM(L185:M185)</f>
        <v>1.08</v>
      </c>
      <c r="F185" s="416">
        <f t="shared" ref="F185:F199" si="61">ROUND(+E185*$J$10,2)</f>
        <v>-0.02</v>
      </c>
      <c r="G185" s="48">
        <v>37</v>
      </c>
      <c r="H185" s="81">
        <f t="shared" ref="H185:I199" si="62">ROUND($G185*E185,0)</f>
        <v>40</v>
      </c>
      <c r="I185" s="81">
        <f t="shared" si="62"/>
        <v>-1</v>
      </c>
      <c r="K185" s="105"/>
      <c r="L185" s="100">
        <v>0.37</v>
      </c>
      <c r="M185" s="100">
        <v>0.71</v>
      </c>
      <c r="Q185" s="423" t="s">
        <v>451</v>
      </c>
    </row>
    <row r="186" spans="1:17" x14ac:dyDescent="0.3">
      <c r="A186" s="1">
        <f t="shared" si="47"/>
        <v>177</v>
      </c>
      <c r="B186" s="65" t="str">
        <f t="shared" ref="B186:B199" si="63">B185</f>
        <v>58E &amp; 59E</v>
      </c>
      <c r="C186" s="63" t="s">
        <v>175</v>
      </c>
      <c r="D186" s="60" t="s">
        <v>177</v>
      </c>
      <c r="E186" s="100">
        <f t="shared" si="60"/>
        <v>1.7999999999999998</v>
      </c>
      <c r="F186" s="416">
        <f t="shared" si="61"/>
        <v>-0.04</v>
      </c>
      <c r="G186" s="48">
        <v>656</v>
      </c>
      <c r="H186" s="81">
        <f t="shared" si="62"/>
        <v>1181</v>
      </c>
      <c r="I186" s="81">
        <f t="shared" si="62"/>
        <v>-26</v>
      </c>
      <c r="K186" s="105"/>
      <c r="L186" s="100">
        <v>0.62</v>
      </c>
      <c r="M186" s="100">
        <v>1.18</v>
      </c>
      <c r="Q186" s="423" t="s">
        <v>451</v>
      </c>
    </row>
    <row r="187" spans="1:17" x14ac:dyDescent="0.3">
      <c r="A187" s="1">
        <f t="shared" si="47"/>
        <v>178</v>
      </c>
      <c r="B187" s="65" t="str">
        <f t="shared" si="63"/>
        <v>58E &amp; 59E</v>
      </c>
      <c r="C187" s="63" t="s">
        <v>175</v>
      </c>
      <c r="D187" s="60" t="s">
        <v>178</v>
      </c>
      <c r="E187" s="100">
        <f t="shared" si="60"/>
        <v>2.52</v>
      </c>
      <c r="F187" s="416">
        <f t="shared" si="61"/>
        <v>-0.05</v>
      </c>
      <c r="G187" s="48">
        <v>189</v>
      </c>
      <c r="H187" s="81">
        <f t="shared" si="62"/>
        <v>476</v>
      </c>
      <c r="I187" s="81">
        <f t="shared" si="62"/>
        <v>-9</v>
      </c>
      <c r="K187" s="105"/>
      <c r="L187" s="100">
        <v>0.87</v>
      </c>
      <c r="M187" s="100">
        <v>1.65</v>
      </c>
      <c r="Q187" s="423" t="s">
        <v>451</v>
      </c>
    </row>
    <row r="188" spans="1:17" x14ac:dyDescent="0.3">
      <c r="A188" s="1">
        <f t="shared" si="47"/>
        <v>179</v>
      </c>
      <c r="B188" s="65" t="str">
        <f t="shared" si="63"/>
        <v>58E &amp; 59E</v>
      </c>
      <c r="C188" s="63" t="s">
        <v>175</v>
      </c>
      <c r="D188" s="60" t="s">
        <v>179</v>
      </c>
      <c r="E188" s="100">
        <f t="shared" si="60"/>
        <v>3.24</v>
      </c>
      <c r="F188" s="416">
        <f t="shared" si="61"/>
        <v>-7.0000000000000007E-2</v>
      </c>
      <c r="G188" s="48">
        <v>1182</v>
      </c>
      <c r="H188" s="81">
        <f t="shared" si="62"/>
        <v>3830</v>
      </c>
      <c r="I188" s="81">
        <f t="shared" si="62"/>
        <v>-83</v>
      </c>
      <c r="K188" s="105"/>
      <c r="L188" s="100">
        <v>1.1200000000000001</v>
      </c>
      <c r="M188" s="100">
        <v>2.12</v>
      </c>
      <c r="Q188" s="423" t="s">
        <v>451</v>
      </c>
    </row>
    <row r="189" spans="1:17" x14ac:dyDescent="0.3">
      <c r="A189" s="1">
        <f t="shared" si="47"/>
        <v>180</v>
      </c>
      <c r="B189" s="65" t="str">
        <f t="shared" si="63"/>
        <v>58E &amp; 59E</v>
      </c>
      <c r="C189" s="63" t="s">
        <v>175</v>
      </c>
      <c r="D189" s="60" t="s">
        <v>180</v>
      </c>
      <c r="E189" s="100">
        <f t="shared" si="60"/>
        <v>3.95</v>
      </c>
      <c r="F189" s="416">
        <f t="shared" si="61"/>
        <v>-0.08</v>
      </c>
      <c r="G189" s="48">
        <v>143</v>
      </c>
      <c r="H189" s="81">
        <f t="shared" si="62"/>
        <v>565</v>
      </c>
      <c r="I189" s="81">
        <f t="shared" si="62"/>
        <v>-11</v>
      </c>
      <c r="K189" s="105"/>
      <c r="L189" s="100">
        <v>1.36</v>
      </c>
      <c r="M189" s="100">
        <v>2.59</v>
      </c>
      <c r="Q189" s="423" t="s">
        <v>451</v>
      </c>
    </row>
    <row r="190" spans="1:17" x14ac:dyDescent="0.3">
      <c r="A190" s="1">
        <f t="shared" si="47"/>
        <v>181</v>
      </c>
      <c r="B190" s="65" t="str">
        <f t="shared" si="63"/>
        <v>58E &amp; 59E</v>
      </c>
      <c r="C190" s="63" t="s">
        <v>175</v>
      </c>
      <c r="D190" s="60" t="s">
        <v>181</v>
      </c>
      <c r="E190" s="100">
        <f t="shared" si="60"/>
        <v>4.67</v>
      </c>
      <c r="F190" s="416">
        <f t="shared" si="61"/>
        <v>-0.1</v>
      </c>
      <c r="G190" s="48">
        <v>0</v>
      </c>
      <c r="H190" s="81">
        <f t="shared" si="62"/>
        <v>0</v>
      </c>
      <c r="I190" s="81">
        <f t="shared" si="62"/>
        <v>0</v>
      </c>
      <c r="K190" s="105"/>
      <c r="L190" s="100">
        <v>1.61</v>
      </c>
      <c r="M190" s="100">
        <v>3.06</v>
      </c>
      <c r="Q190" s="423" t="s">
        <v>451</v>
      </c>
    </row>
    <row r="191" spans="1:17" x14ac:dyDescent="0.3">
      <c r="A191" s="1">
        <f t="shared" si="47"/>
        <v>182</v>
      </c>
      <c r="B191" s="65" t="str">
        <f t="shared" si="63"/>
        <v>58E &amp; 59E</v>
      </c>
      <c r="C191" s="63" t="s">
        <v>175</v>
      </c>
      <c r="D191" s="60" t="s">
        <v>182</v>
      </c>
      <c r="E191" s="100">
        <f t="shared" si="60"/>
        <v>5.4</v>
      </c>
      <c r="F191" s="416">
        <f t="shared" si="61"/>
        <v>-0.11</v>
      </c>
      <c r="G191" s="48">
        <v>132</v>
      </c>
      <c r="H191" s="81">
        <f t="shared" si="62"/>
        <v>713</v>
      </c>
      <c r="I191" s="81">
        <f t="shared" si="62"/>
        <v>-15</v>
      </c>
      <c r="K191" s="105"/>
      <c r="L191" s="100">
        <v>1.86</v>
      </c>
      <c r="M191" s="100">
        <v>3.54</v>
      </c>
      <c r="Q191" s="423" t="s">
        <v>451</v>
      </c>
    </row>
    <row r="192" spans="1:17" x14ac:dyDescent="0.3">
      <c r="A192" s="1">
        <f t="shared" si="47"/>
        <v>183</v>
      </c>
      <c r="B192" s="65" t="str">
        <f t="shared" si="63"/>
        <v>58E &amp; 59E</v>
      </c>
      <c r="C192" s="63" t="s">
        <v>175</v>
      </c>
      <c r="D192" s="60" t="s">
        <v>183</v>
      </c>
      <c r="E192" s="100">
        <f t="shared" si="60"/>
        <v>6.1199999999999992</v>
      </c>
      <c r="F192" s="416">
        <f t="shared" si="61"/>
        <v>-0.13</v>
      </c>
      <c r="G192" s="48">
        <v>264</v>
      </c>
      <c r="H192" s="81">
        <f t="shared" si="62"/>
        <v>1616</v>
      </c>
      <c r="I192" s="81">
        <f t="shared" si="62"/>
        <v>-34</v>
      </c>
      <c r="K192" s="105"/>
      <c r="L192" s="100">
        <v>2.11</v>
      </c>
      <c r="M192" s="100">
        <v>4.01</v>
      </c>
      <c r="Q192" s="423" t="s">
        <v>451</v>
      </c>
    </row>
    <row r="193" spans="1:17" x14ac:dyDescent="0.3">
      <c r="A193" s="1">
        <f t="shared" si="47"/>
        <v>184</v>
      </c>
      <c r="B193" s="65" t="str">
        <f t="shared" si="63"/>
        <v>58E &amp; 59E</v>
      </c>
      <c r="C193" s="63" t="s">
        <v>175</v>
      </c>
      <c r="D193" s="60" t="s">
        <v>184</v>
      </c>
      <c r="E193" s="100">
        <f t="shared" si="60"/>
        <v>6.84</v>
      </c>
      <c r="F193" s="416">
        <f t="shared" si="61"/>
        <v>-0.14000000000000001</v>
      </c>
      <c r="G193" s="48">
        <v>0</v>
      </c>
      <c r="H193" s="81">
        <f t="shared" si="62"/>
        <v>0</v>
      </c>
      <c r="I193" s="81">
        <f t="shared" si="62"/>
        <v>0</v>
      </c>
      <c r="K193" s="105"/>
      <c r="L193" s="100">
        <v>2.36</v>
      </c>
      <c r="M193" s="100">
        <v>4.4800000000000004</v>
      </c>
      <c r="Q193" s="423" t="s">
        <v>451</v>
      </c>
    </row>
    <row r="194" spans="1:17" x14ac:dyDescent="0.3">
      <c r="A194" s="1">
        <f t="shared" si="47"/>
        <v>185</v>
      </c>
      <c r="B194" s="65" t="str">
        <f t="shared" si="63"/>
        <v>58E &amp; 59E</v>
      </c>
      <c r="C194" s="63" t="s">
        <v>175</v>
      </c>
      <c r="D194" s="60" t="s">
        <v>202</v>
      </c>
      <c r="E194" s="100">
        <f t="shared" si="60"/>
        <v>8.39</v>
      </c>
      <c r="F194" s="416">
        <f t="shared" si="61"/>
        <v>-0.17</v>
      </c>
      <c r="G194" s="48">
        <v>0</v>
      </c>
      <c r="H194" s="81">
        <f t="shared" si="62"/>
        <v>0</v>
      </c>
      <c r="I194" s="81">
        <f t="shared" si="62"/>
        <v>0</v>
      </c>
      <c r="K194" s="105"/>
      <c r="L194" s="100">
        <v>2.89</v>
      </c>
      <c r="M194" s="100">
        <v>5.5</v>
      </c>
      <c r="Q194" s="423" t="s">
        <v>451</v>
      </c>
    </row>
    <row r="195" spans="1:17" x14ac:dyDescent="0.3">
      <c r="A195" s="1">
        <f t="shared" si="47"/>
        <v>186</v>
      </c>
      <c r="B195" s="65" t="str">
        <f t="shared" si="63"/>
        <v>58E &amp; 59E</v>
      </c>
      <c r="C195" s="63" t="s">
        <v>175</v>
      </c>
      <c r="D195" s="60" t="s">
        <v>203</v>
      </c>
      <c r="E195" s="100">
        <f t="shared" si="60"/>
        <v>10.790000000000001</v>
      </c>
      <c r="F195" s="416">
        <f t="shared" si="61"/>
        <v>-0.22</v>
      </c>
      <c r="G195" s="48">
        <v>0</v>
      </c>
      <c r="H195" s="81">
        <f t="shared" si="62"/>
        <v>0</v>
      </c>
      <c r="I195" s="81">
        <f t="shared" si="62"/>
        <v>0</v>
      </c>
      <c r="K195" s="105"/>
      <c r="L195" s="100">
        <v>3.72</v>
      </c>
      <c r="M195" s="100">
        <v>7.07</v>
      </c>
      <c r="Q195" s="423" t="s">
        <v>451</v>
      </c>
    </row>
    <row r="196" spans="1:17" x14ac:dyDescent="0.3">
      <c r="A196" s="1">
        <f t="shared" si="47"/>
        <v>187</v>
      </c>
      <c r="B196" s="65" t="str">
        <f t="shared" si="63"/>
        <v>58E &amp; 59E</v>
      </c>
      <c r="C196" s="63" t="s">
        <v>175</v>
      </c>
      <c r="D196" s="60" t="s">
        <v>204</v>
      </c>
      <c r="E196" s="100">
        <f t="shared" si="60"/>
        <v>13.190000000000001</v>
      </c>
      <c r="F196" s="416">
        <f t="shared" si="61"/>
        <v>-0.27</v>
      </c>
      <c r="G196" s="48">
        <v>0</v>
      </c>
      <c r="H196" s="81">
        <f t="shared" si="62"/>
        <v>0</v>
      </c>
      <c r="I196" s="81">
        <f t="shared" si="62"/>
        <v>0</v>
      </c>
      <c r="K196" s="105"/>
      <c r="L196" s="100">
        <v>4.55</v>
      </c>
      <c r="M196" s="100">
        <v>8.64</v>
      </c>
      <c r="Q196" s="423" t="s">
        <v>451</v>
      </c>
    </row>
    <row r="197" spans="1:17" x14ac:dyDescent="0.3">
      <c r="A197" s="1">
        <f t="shared" si="47"/>
        <v>188</v>
      </c>
      <c r="B197" s="65" t="str">
        <f t="shared" si="63"/>
        <v>58E &amp; 59E</v>
      </c>
      <c r="C197" s="63" t="s">
        <v>175</v>
      </c>
      <c r="D197" s="60" t="s">
        <v>205</v>
      </c>
      <c r="E197" s="100">
        <f t="shared" si="60"/>
        <v>15.59</v>
      </c>
      <c r="F197" s="416">
        <f t="shared" si="61"/>
        <v>-0.32</v>
      </c>
      <c r="G197" s="48">
        <v>0</v>
      </c>
      <c r="H197" s="81">
        <f t="shared" si="62"/>
        <v>0</v>
      </c>
      <c r="I197" s="81">
        <f t="shared" si="62"/>
        <v>0</v>
      </c>
      <c r="K197" s="105"/>
      <c r="L197" s="100">
        <v>5.38</v>
      </c>
      <c r="M197" s="100">
        <v>10.210000000000001</v>
      </c>
      <c r="Q197" s="423" t="s">
        <v>451</v>
      </c>
    </row>
    <row r="198" spans="1:17" x14ac:dyDescent="0.3">
      <c r="A198" s="1">
        <f t="shared" si="47"/>
        <v>189</v>
      </c>
      <c r="B198" s="65" t="str">
        <f t="shared" si="63"/>
        <v>58E &amp; 59E</v>
      </c>
      <c r="C198" s="63" t="s">
        <v>175</v>
      </c>
      <c r="D198" s="60" t="s">
        <v>206</v>
      </c>
      <c r="E198" s="100">
        <f t="shared" si="60"/>
        <v>17.98</v>
      </c>
      <c r="F198" s="416">
        <f t="shared" si="61"/>
        <v>-0.37</v>
      </c>
      <c r="G198" s="48">
        <v>0</v>
      </c>
      <c r="H198" s="81">
        <f t="shared" si="62"/>
        <v>0</v>
      </c>
      <c r="I198" s="81">
        <f t="shared" si="62"/>
        <v>0</v>
      </c>
      <c r="K198" s="105"/>
      <c r="L198" s="100">
        <v>6.2</v>
      </c>
      <c r="M198" s="100">
        <v>11.78</v>
      </c>
      <c r="Q198" s="423" t="s">
        <v>451</v>
      </c>
    </row>
    <row r="199" spans="1:17" ht="15" thickBot="1" x14ac:dyDescent="0.35">
      <c r="A199" s="1">
        <f t="shared" si="47"/>
        <v>190</v>
      </c>
      <c r="B199" s="65" t="str">
        <f t="shared" si="63"/>
        <v>58E &amp; 59E</v>
      </c>
      <c r="C199" s="63" t="s">
        <v>175</v>
      </c>
      <c r="D199" s="60" t="s">
        <v>207</v>
      </c>
      <c r="E199" s="100">
        <f t="shared" si="60"/>
        <v>20.39</v>
      </c>
      <c r="F199" s="416">
        <f t="shared" si="61"/>
        <v>-0.42</v>
      </c>
      <c r="G199" s="48">
        <v>0</v>
      </c>
      <c r="H199" s="81">
        <f t="shared" si="62"/>
        <v>0</v>
      </c>
      <c r="I199" s="81">
        <f t="shared" si="62"/>
        <v>0</v>
      </c>
      <c r="K199" s="105"/>
      <c r="L199" s="100">
        <v>7.03</v>
      </c>
      <c r="M199" s="100">
        <v>13.36</v>
      </c>
      <c r="Q199" s="424" t="s">
        <v>451</v>
      </c>
    </row>
    <row r="200" spans="1:17" x14ac:dyDescent="0.3">
      <c r="B200" s="53"/>
      <c r="K200" s="105"/>
      <c r="L200" s="100"/>
      <c r="M200" s="100"/>
      <c r="Q200" s="425"/>
    </row>
    <row r="201" spans="1:17" x14ac:dyDescent="0.3">
      <c r="B201" s="53"/>
      <c r="K201" s="105"/>
      <c r="L201" s="100"/>
      <c r="M201" s="100"/>
      <c r="Q201" s="425"/>
    </row>
    <row r="202" spans="1:17" x14ac:dyDescent="0.3">
      <c r="Q202" s="425"/>
    </row>
    <row r="203" spans="1:17" x14ac:dyDescent="0.3">
      <c r="K203" s="105"/>
      <c r="L203" s="100"/>
      <c r="M203" s="100"/>
      <c r="Q203" s="425"/>
    </row>
    <row r="204" spans="1:17" x14ac:dyDescent="0.3">
      <c r="K204" s="105"/>
      <c r="L204" s="100"/>
      <c r="M204" s="100"/>
      <c r="Q204" s="425"/>
    </row>
    <row r="205" spans="1:17" x14ac:dyDescent="0.3">
      <c r="K205" s="105"/>
      <c r="L205" s="100"/>
      <c r="M205" s="100"/>
    </row>
    <row r="206" spans="1:17" x14ac:dyDescent="0.3">
      <c r="K206" s="105"/>
      <c r="L206" s="100"/>
      <c r="M206" s="100"/>
    </row>
    <row r="207" spans="1:17" x14ac:dyDescent="0.3">
      <c r="K207" s="105"/>
      <c r="L207" s="100"/>
      <c r="M207" s="100"/>
    </row>
  </sheetData>
  <mergeCells count="4">
    <mergeCell ref="A1:J1"/>
    <mergeCell ref="A2:J2"/>
    <mergeCell ref="A3:J3"/>
    <mergeCell ref="B4:F4"/>
  </mergeCells>
  <printOptions horizontalCentered="1"/>
  <pageMargins left="0.7" right="0.7" top="0.75" bottom="0.75" header="0.3" footer="0.3"/>
  <pageSetup scale="60" fitToHeight="0" orientation="portrait" r:id="rId1"/>
  <headerFooter alignWithMargins="0">
    <oddFooter>&amp;L&amp;F
&amp;A&amp;RSchedule 95A Filing Eff 1-1-21
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0"/>
  <sheetViews>
    <sheetView tabSelected="1" topLeftCell="A31" zoomScaleNormal="100" workbookViewId="0">
      <selection activeCell="J40" sqref="J40"/>
    </sheetView>
  </sheetViews>
  <sheetFormatPr defaultColWidth="8.88671875" defaultRowHeight="10.199999999999999" x14ac:dyDescent="0.2"/>
  <cols>
    <col min="1" max="1" width="21.5546875" style="288" customWidth="1"/>
    <col min="2" max="2" width="8.77734375" style="288" bestFit="1" customWidth="1"/>
    <col min="3" max="3" width="14.44140625" style="288" bestFit="1" customWidth="1"/>
    <col min="4" max="4" width="9.88671875" style="288" bestFit="1" customWidth="1"/>
    <col min="5" max="6" width="10.77734375" style="288" bestFit="1" customWidth="1"/>
    <col min="7" max="7" width="2" style="288" customWidth="1"/>
    <col min="8" max="8" width="7.109375" style="288" customWidth="1"/>
    <col min="9" max="9" width="9.109375" style="288" bestFit="1" customWidth="1"/>
    <col min="10" max="11" width="10.77734375" style="288" bestFit="1" customWidth="1"/>
    <col min="12" max="13" width="9" style="288" customWidth="1"/>
    <col min="14" max="14" width="4" style="288" customWidth="1"/>
    <col min="15" max="16384" width="8.88671875" style="288"/>
  </cols>
  <sheetData>
    <row r="1" spans="1:18" s="325" customFormat="1" x14ac:dyDescent="0.2">
      <c r="A1" s="324" t="s">
        <v>13</v>
      </c>
      <c r="B1" s="326"/>
      <c r="C1" s="326"/>
      <c r="D1" s="326"/>
      <c r="E1" s="326"/>
      <c r="F1" s="326"/>
      <c r="G1" s="326"/>
      <c r="H1" s="326"/>
      <c r="I1" s="326"/>
      <c r="J1" s="326"/>
      <c r="K1" s="326"/>
      <c r="L1" s="326"/>
      <c r="M1" s="326"/>
      <c r="N1" s="326"/>
    </row>
    <row r="2" spans="1:18" s="325" customFormat="1" x14ac:dyDescent="0.2">
      <c r="A2" s="324" t="s">
        <v>35</v>
      </c>
      <c r="B2" s="326"/>
      <c r="C2" s="326"/>
      <c r="D2" s="326"/>
      <c r="E2" s="326"/>
      <c r="F2" s="326"/>
      <c r="G2" s="326"/>
      <c r="H2" s="326"/>
      <c r="I2" s="326"/>
      <c r="J2" s="326"/>
      <c r="K2" s="326"/>
      <c r="L2" s="326"/>
      <c r="M2" s="326"/>
      <c r="N2" s="326"/>
    </row>
    <row r="3" spans="1:18" x14ac:dyDescent="0.2">
      <c r="A3" s="324" t="s">
        <v>431</v>
      </c>
      <c r="B3" s="323"/>
      <c r="C3" s="323"/>
      <c r="D3" s="323"/>
      <c r="E3" s="323"/>
      <c r="F3" s="323"/>
      <c r="G3" s="323"/>
      <c r="H3" s="323"/>
      <c r="I3" s="323"/>
      <c r="J3" s="323"/>
      <c r="K3" s="323"/>
      <c r="L3" s="323"/>
      <c r="M3" s="323"/>
      <c r="N3" s="323"/>
    </row>
    <row r="5" spans="1:18" x14ac:dyDescent="0.2">
      <c r="C5" s="446" t="s">
        <v>398</v>
      </c>
      <c r="D5" s="446"/>
      <c r="E5" s="446"/>
      <c r="F5" s="446"/>
      <c r="G5" s="309"/>
      <c r="H5" s="446" t="s">
        <v>397</v>
      </c>
      <c r="I5" s="446"/>
      <c r="J5" s="446"/>
      <c r="K5" s="446"/>
      <c r="L5" s="322"/>
      <c r="M5" s="322"/>
      <c r="O5" s="321"/>
      <c r="P5" s="321"/>
      <c r="Q5" s="321"/>
      <c r="R5" s="321"/>
    </row>
    <row r="6" spans="1:18" ht="20.399999999999999" x14ac:dyDescent="0.2">
      <c r="A6" s="319" t="s">
        <v>36</v>
      </c>
      <c r="B6" s="319" t="s">
        <v>34</v>
      </c>
      <c r="C6" s="319" t="s">
        <v>396</v>
      </c>
      <c r="D6" s="319" t="s">
        <v>395</v>
      </c>
      <c r="E6" s="319" t="s">
        <v>394</v>
      </c>
      <c r="F6" s="319" t="s">
        <v>393</v>
      </c>
      <c r="G6" s="309"/>
      <c r="H6" s="319" t="s">
        <v>396</v>
      </c>
      <c r="I6" s="319" t="s">
        <v>395</v>
      </c>
      <c r="J6" s="319" t="s">
        <v>394</v>
      </c>
      <c r="K6" s="319" t="s">
        <v>393</v>
      </c>
      <c r="L6" s="320" t="s">
        <v>37</v>
      </c>
      <c r="M6" s="319" t="s">
        <v>38</v>
      </c>
    </row>
    <row r="7" spans="1:18" x14ac:dyDescent="0.2">
      <c r="A7" s="288" t="s">
        <v>39</v>
      </c>
      <c r="B7" s="318">
        <v>1203</v>
      </c>
      <c r="C7" s="317">
        <f t="shared" ref="C7:C18" si="0">ROUND(+$E$27,2)</f>
        <v>7.49</v>
      </c>
      <c r="D7" s="317">
        <f t="shared" ref="D7:D18" si="1">ROUND(IF($B7&gt;600,600*$E$57,$B7*$E$37),2)</f>
        <v>58.04</v>
      </c>
      <c r="E7" s="317">
        <f>ROUND(IF($B7&gt;600,($B7-600)*$E$58,0),2)</f>
        <v>70.290000000000006</v>
      </c>
      <c r="F7" s="290">
        <f t="shared" ref="F7:F18" si="2">SUM(C7:E7)</f>
        <v>135.82</v>
      </c>
      <c r="G7" s="309"/>
      <c r="H7" s="317">
        <f t="shared" ref="H7:H18" si="3">ROUND(+$F$27,2)</f>
        <v>7.49</v>
      </c>
      <c r="I7" s="317">
        <f t="shared" ref="I7:I18" si="4">ROUND(IF($B7&gt;600,600*$F$57,$B7*$F$37),2)</f>
        <v>58.07</v>
      </c>
      <c r="J7" s="317">
        <f t="shared" ref="J7:J18" si="5">ROUND(IF($B7&gt;600,($B7-600)*$F$58,0),2)</f>
        <v>70.319999999999993</v>
      </c>
      <c r="K7" s="290">
        <f t="shared" ref="K7:K18" si="6">SUM(H7:J7)</f>
        <v>135.88</v>
      </c>
      <c r="L7" s="290">
        <f t="shared" ref="L7:L18" si="7">+K7-F7</f>
        <v>6.0000000000002274E-2</v>
      </c>
      <c r="M7" s="314">
        <f t="shared" ref="M7:M18" si="8">+L7/F7</f>
        <v>4.417611544691671E-4</v>
      </c>
    </row>
    <row r="8" spans="1:18" x14ac:dyDescent="0.2">
      <c r="A8" s="288" t="s">
        <v>40</v>
      </c>
      <c r="B8" s="318">
        <v>978</v>
      </c>
      <c r="C8" s="317">
        <f t="shared" si="0"/>
        <v>7.49</v>
      </c>
      <c r="D8" s="317">
        <f t="shared" si="1"/>
        <v>58.04</v>
      </c>
      <c r="E8" s="317">
        <f t="shared" ref="E8:E18" si="9">ROUND(IF($B8&gt;600,($B8-600)*$E$58,0),2)</f>
        <v>44.06</v>
      </c>
      <c r="F8" s="290">
        <f t="shared" si="2"/>
        <v>109.59</v>
      </c>
      <c r="G8" s="309"/>
      <c r="H8" s="317">
        <f t="shared" si="3"/>
        <v>7.49</v>
      </c>
      <c r="I8" s="317">
        <f t="shared" si="4"/>
        <v>58.07</v>
      </c>
      <c r="J8" s="317">
        <f t="shared" si="5"/>
        <v>44.08</v>
      </c>
      <c r="K8" s="290">
        <f t="shared" si="6"/>
        <v>109.64</v>
      </c>
      <c r="L8" s="290">
        <f t="shared" si="7"/>
        <v>4.9999999999997158E-2</v>
      </c>
      <c r="M8" s="314">
        <f t="shared" si="8"/>
        <v>4.5624600784740539E-4</v>
      </c>
    </row>
    <row r="9" spans="1:18" x14ac:dyDescent="0.2">
      <c r="A9" s="288" t="s">
        <v>41</v>
      </c>
      <c r="B9" s="318">
        <v>1016</v>
      </c>
      <c r="C9" s="317">
        <f t="shared" si="0"/>
        <v>7.49</v>
      </c>
      <c r="D9" s="317">
        <f t="shared" si="1"/>
        <v>58.04</v>
      </c>
      <c r="E9" s="317">
        <f t="shared" si="9"/>
        <v>48.49</v>
      </c>
      <c r="F9" s="290">
        <f t="shared" si="2"/>
        <v>114.02000000000001</v>
      </c>
      <c r="G9" s="309"/>
      <c r="H9" s="317">
        <f t="shared" si="3"/>
        <v>7.49</v>
      </c>
      <c r="I9" s="317">
        <f t="shared" si="4"/>
        <v>58.07</v>
      </c>
      <c r="J9" s="317">
        <f t="shared" si="5"/>
        <v>48.51</v>
      </c>
      <c r="K9" s="290">
        <f t="shared" si="6"/>
        <v>114.07</v>
      </c>
      <c r="L9" s="290">
        <f t="shared" si="7"/>
        <v>4.9999999999982947E-2</v>
      </c>
      <c r="M9" s="314">
        <f t="shared" si="8"/>
        <v>4.3851955797213595E-4</v>
      </c>
    </row>
    <row r="10" spans="1:18" x14ac:dyDescent="0.2">
      <c r="A10" s="288" t="s">
        <v>42</v>
      </c>
      <c r="B10" s="318">
        <v>802</v>
      </c>
      <c r="C10" s="317">
        <f t="shared" si="0"/>
        <v>7.49</v>
      </c>
      <c r="D10" s="317">
        <f t="shared" si="1"/>
        <v>58.04</v>
      </c>
      <c r="E10" s="317">
        <f t="shared" si="9"/>
        <v>23.55</v>
      </c>
      <c r="F10" s="290">
        <f t="shared" si="2"/>
        <v>89.08</v>
      </c>
      <c r="G10" s="309"/>
      <c r="H10" s="317">
        <f t="shared" si="3"/>
        <v>7.49</v>
      </c>
      <c r="I10" s="317">
        <f t="shared" si="4"/>
        <v>58.07</v>
      </c>
      <c r="J10" s="317">
        <f t="shared" si="5"/>
        <v>23.56</v>
      </c>
      <c r="K10" s="290">
        <f t="shared" si="6"/>
        <v>89.12</v>
      </c>
      <c r="L10" s="290">
        <f t="shared" si="7"/>
        <v>4.0000000000006253E-2</v>
      </c>
      <c r="M10" s="314">
        <f t="shared" si="8"/>
        <v>4.4903457566239618E-4</v>
      </c>
    </row>
    <row r="11" spans="1:18" x14ac:dyDescent="0.2">
      <c r="A11" s="288" t="s">
        <v>43</v>
      </c>
      <c r="B11" s="318">
        <v>728</v>
      </c>
      <c r="C11" s="317">
        <f t="shared" si="0"/>
        <v>7.49</v>
      </c>
      <c r="D11" s="317">
        <f t="shared" si="1"/>
        <v>58.04</v>
      </c>
      <c r="E11" s="317">
        <f t="shared" si="9"/>
        <v>14.92</v>
      </c>
      <c r="F11" s="290">
        <f t="shared" si="2"/>
        <v>80.45</v>
      </c>
      <c r="G11" s="309"/>
      <c r="H11" s="317">
        <f t="shared" si="3"/>
        <v>7.49</v>
      </c>
      <c r="I11" s="317">
        <f t="shared" si="4"/>
        <v>58.07</v>
      </c>
      <c r="J11" s="317">
        <f t="shared" si="5"/>
        <v>14.93</v>
      </c>
      <c r="K11" s="290">
        <f t="shared" si="6"/>
        <v>80.490000000000009</v>
      </c>
      <c r="L11" s="290">
        <f t="shared" si="7"/>
        <v>4.0000000000006253E-2</v>
      </c>
      <c r="M11" s="314">
        <f t="shared" si="8"/>
        <v>4.9720323182108456E-4</v>
      </c>
    </row>
    <row r="12" spans="1:18" x14ac:dyDescent="0.2">
      <c r="A12" s="288" t="s">
        <v>44</v>
      </c>
      <c r="B12" s="318">
        <v>636</v>
      </c>
      <c r="C12" s="317">
        <f t="shared" si="0"/>
        <v>7.49</v>
      </c>
      <c r="D12" s="317">
        <f t="shared" si="1"/>
        <v>58.04</v>
      </c>
      <c r="E12" s="317">
        <f t="shared" si="9"/>
        <v>4.2</v>
      </c>
      <c r="F12" s="290">
        <f t="shared" si="2"/>
        <v>69.73</v>
      </c>
      <c r="G12" s="309"/>
      <c r="H12" s="317">
        <f t="shared" si="3"/>
        <v>7.49</v>
      </c>
      <c r="I12" s="317">
        <f t="shared" si="4"/>
        <v>58.07</v>
      </c>
      <c r="J12" s="317">
        <f t="shared" si="5"/>
        <v>4.2</v>
      </c>
      <c r="K12" s="290">
        <f t="shared" si="6"/>
        <v>69.760000000000005</v>
      </c>
      <c r="L12" s="290">
        <f t="shared" si="7"/>
        <v>3.0000000000001137E-2</v>
      </c>
      <c r="M12" s="314">
        <f t="shared" si="8"/>
        <v>4.3023089057795977E-4</v>
      </c>
    </row>
    <row r="13" spans="1:18" x14ac:dyDescent="0.2">
      <c r="A13" s="288" t="s">
        <v>45</v>
      </c>
      <c r="B13" s="318">
        <v>636</v>
      </c>
      <c r="C13" s="317">
        <f t="shared" si="0"/>
        <v>7.49</v>
      </c>
      <c r="D13" s="317">
        <f t="shared" si="1"/>
        <v>58.04</v>
      </c>
      <c r="E13" s="317">
        <f t="shared" si="9"/>
        <v>4.2</v>
      </c>
      <c r="F13" s="290">
        <f t="shared" si="2"/>
        <v>69.73</v>
      </c>
      <c r="G13" s="309"/>
      <c r="H13" s="317">
        <f t="shared" si="3"/>
        <v>7.49</v>
      </c>
      <c r="I13" s="317">
        <f t="shared" si="4"/>
        <v>58.07</v>
      </c>
      <c r="J13" s="317">
        <f t="shared" si="5"/>
        <v>4.2</v>
      </c>
      <c r="K13" s="290">
        <f t="shared" si="6"/>
        <v>69.760000000000005</v>
      </c>
      <c r="L13" s="290">
        <f t="shared" si="7"/>
        <v>3.0000000000001137E-2</v>
      </c>
      <c r="M13" s="314">
        <f t="shared" si="8"/>
        <v>4.3023089057795977E-4</v>
      </c>
    </row>
    <row r="14" spans="1:18" x14ac:dyDescent="0.2">
      <c r="A14" s="288" t="s">
        <v>46</v>
      </c>
      <c r="B14" s="318">
        <v>656</v>
      </c>
      <c r="C14" s="317">
        <f t="shared" si="0"/>
        <v>7.49</v>
      </c>
      <c r="D14" s="317">
        <f t="shared" si="1"/>
        <v>58.04</v>
      </c>
      <c r="E14" s="317">
        <f t="shared" si="9"/>
        <v>6.53</v>
      </c>
      <c r="F14" s="290">
        <f t="shared" si="2"/>
        <v>72.06</v>
      </c>
      <c r="G14" s="309"/>
      <c r="H14" s="317">
        <f t="shared" si="3"/>
        <v>7.49</v>
      </c>
      <c r="I14" s="317">
        <f t="shared" si="4"/>
        <v>58.07</v>
      </c>
      <c r="J14" s="317">
        <f t="shared" si="5"/>
        <v>6.53</v>
      </c>
      <c r="K14" s="290">
        <f t="shared" si="6"/>
        <v>72.09</v>
      </c>
      <c r="L14" s="290">
        <f t="shared" si="7"/>
        <v>3.0000000000001137E-2</v>
      </c>
      <c r="M14" s="314">
        <f t="shared" si="8"/>
        <v>4.1631973355538631E-4</v>
      </c>
    </row>
    <row r="15" spans="1:18" x14ac:dyDescent="0.2">
      <c r="A15" s="288" t="s">
        <v>47</v>
      </c>
      <c r="B15" s="318">
        <v>620</v>
      </c>
      <c r="C15" s="317">
        <f t="shared" si="0"/>
        <v>7.49</v>
      </c>
      <c r="D15" s="317">
        <f t="shared" si="1"/>
        <v>58.04</v>
      </c>
      <c r="E15" s="317">
        <f t="shared" si="9"/>
        <v>2.33</v>
      </c>
      <c r="F15" s="290">
        <f t="shared" si="2"/>
        <v>67.86</v>
      </c>
      <c r="G15" s="309"/>
      <c r="H15" s="317">
        <f t="shared" si="3"/>
        <v>7.49</v>
      </c>
      <c r="I15" s="317">
        <f t="shared" si="4"/>
        <v>58.07</v>
      </c>
      <c r="J15" s="317">
        <f t="shared" si="5"/>
        <v>2.33</v>
      </c>
      <c r="K15" s="290">
        <f t="shared" si="6"/>
        <v>67.89</v>
      </c>
      <c r="L15" s="290">
        <f t="shared" si="7"/>
        <v>3.0000000000001137E-2</v>
      </c>
      <c r="M15" s="314">
        <f t="shared" si="8"/>
        <v>4.4208664898321749E-4</v>
      </c>
    </row>
    <row r="16" spans="1:18" x14ac:dyDescent="0.2">
      <c r="A16" s="288" t="s">
        <v>48</v>
      </c>
      <c r="B16" s="318">
        <v>779</v>
      </c>
      <c r="C16" s="317">
        <f t="shared" si="0"/>
        <v>7.49</v>
      </c>
      <c r="D16" s="317">
        <f t="shared" si="1"/>
        <v>58.04</v>
      </c>
      <c r="E16" s="317">
        <f t="shared" si="9"/>
        <v>20.86</v>
      </c>
      <c r="F16" s="290">
        <f t="shared" si="2"/>
        <v>86.39</v>
      </c>
      <c r="G16" s="309"/>
      <c r="H16" s="317">
        <f t="shared" si="3"/>
        <v>7.49</v>
      </c>
      <c r="I16" s="317">
        <f t="shared" si="4"/>
        <v>58.07</v>
      </c>
      <c r="J16" s="317">
        <f t="shared" si="5"/>
        <v>20.87</v>
      </c>
      <c r="K16" s="290">
        <f t="shared" si="6"/>
        <v>86.43</v>
      </c>
      <c r="L16" s="290">
        <f t="shared" si="7"/>
        <v>4.0000000000006253E-2</v>
      </c>
      <c r="M16" s="314">
        <f t="shared" si="8"/>
        <v>4.6301655284183645E-4</v>
      </c>
    </row>
    <row r="17" spans="1:13" x14ac:dyDescent="0.2">
      <c r="A17" s="288" t="s">
        <v>49</v>
      </c>
      <c r="B17" s="318">
        <v>967</v>
      </c>
      <c r="C17" s="317">
        <f t="shared" si="0"/>
        <v>7.49</v>
      </c>
      <c r="D17" s="317">
        <f t="shared" si="1"/>
        <v>58.04</v>
      </c>
      <c r="E17" s="317">
        <f t="shared" si="9"/>
        <v>42.78</v>
      </c>
      <c r="F17" s="290">
        <f t="shared" si="2"/>
        <v>108.31</v>
      </c>
      <c r="G17" s="309"/>
      <c r="H17" s="317">
        <f t="shared" si="3"/>
        <v>7.49</v>
      </c>
      <c r="I17" s="317">
        <f t="shared" si="4"/>
        <v>58.07</v>
      </c>
      <c r="J17" s="317">
        <f t="shared" si="5"/>
        <v>42.8</v>
      </c>
      <c r="K17" s="290">
        <f t="shared" si="6"/>
        <v>108.36</v>
      </c>
      <c r="L17" s="290">
        <f t="shared" si="7"/>
        <v>4.9999999999997158E-2</v>
      </c>
      <c r="M17" s="314">
        <f t="shared" si="8"/>
        <v>4.6163789123808657E-4</v>
      </c>
    </row>
    <row r="18" spans="1:13" x14ac:dyDescent="0.2">
      <c r="A18" s="288" t="s">
        <v>50</v>
      </c>
      <c r="B18" s="318">
        <v>1150</v>
      </c>
      <c r="C18" s="317">
        <f t="shared" si="0"/>
        <v>7.49</v>
      </c>
      <c r="D18" s="317">
        <f t="shared" si="1"/>
        <v>58.04</v>
      </c>
      <c r="E18" s="317">
        <f t="shared" si="9"/>
        <v>64.11</v>
      </c>
      <c r="F18" s="290">
        <f t="shared" si="2"/>
        <v>129.63999999999999</v>
      </c>
      <c r="G18" s="309"/>
      <c r="H18" s="317">
        <f t="shared" si="3"/>
        <v>7.49</v>
      </c>
      <c r="I18" s="317">
        <f t="shared" si="4"/>
        <v>58.07</v>
      </c>
      <c r="J18" s="317">
        <f t="shared" si="5"/>
        <v>64.14</v>
      </c>
      <c r="K18" s="290">
        <f t="shared" si="6"/>
        <v>129.69999999999999</v>
      </c>
      <c r="L18" s="290">
        <f t="shared" si="7"/>
        <v>6.0000000000002274E-2</v>
      </c>
      <c r="M18" s="314">
        <f t="shared" si="8"/>
        <v>4.6282011724778062E-4</v>
      </c>
    </row>
    <row r="19" spans="1:13" x14ac:dyDescent="0.2">
      <c r="C19" s="317"/>
      <c r="G19" s="309"/>
      <c r="H19" s="317"/>
      <c r="M19" s="314"/>
    </row>
    <row r="20" spans="1:13" ht="10.8" thickBot="1" x14ac:dyDescent="0.25">
      <c r="A20" s="316" t="s">
        <v>51</v>
      </c>
      <c r="B20" s="310">
        <f>SUM(B7:B19)</f>
        <v>10171</v>
      </c>
      <c r="C20" s="315">
        <f>SUM(C7:C19)</f>
        <v>89.88</v>
      </c>
      <c r="D20" s="315">
        <f>SUM(D7:D19)</f>
        <v>696.4799999999999</v>
      </c>
      <c r="E20" s="315">
        <f>SUM(E7:E19)</f>
        <v>346.32000000000005</v>
      </c>
      <c r="F20" s="315">
        <f>SUM(F7:F19)</f>
        <v>1132.6799999999998</v>
      </c>
      <c r="G20" s="309"/>
      <c r="H20" s="315">
        <f>SUM(H7:H19)</f>
        <v>89.88</v>
      </c>
      <c r="I20" s="315">
        <f>SUM(I7:I19)</f>
        <v>696.84000000000015</v>
      </c>
      <c r="J20" s="315">
        <f>SUM(J7:J19)</f>
        <v>346.46999999999997</v>
      </c>
      <c r="K20" s="315">
        <f>SUM(K7:K19)</f>
        <v>1133.19</v>
      </c>
      <c r="L20" s="315">
        <f>+K20-F20</f>
        <v>0.51000000000021828</v>
      </c>
      <c r="M20" s="307">
        <f>+L20/F20</f>
        <v>4.5025956139440828E-4</v>
      </c>
    </row>
    <row r="21" spans="1:13" ht="10.8" thickTop="1" x14ac:dyDescent="0.2">
      <c r="G21" s="309"/>
      <c r="M21" s="314"/>
    </row>
    <row r="22" spans="1:13" ht="10.8" thickBot="1" x14ac:dyDescent="0.25">
      <c r="A22" s="313" t="s">
        <v>110</v>
      </c>
      <c r="B22" s="312">
        <f>ROUND(AVERAGE(B7:B18),-2)</f>
        <v>800</v>
      </c>
      <c r="C22" s="308">
        <f>ROUND(+$E$27,2)</f>
        <v>7.49</v>
      </c>
      <c r="D22" s="308">
        <f>ROUND(IF($B22&gt;600,600*$E$57,$B22*$E$37),2)</f>
        <v>58.04</v>
      </c>
      <c r="E22" s="308">
        <f>ROUND(IF($B22&gt;600,($B22-600)*$E$58,0),2)</f>
        <v>23.31</v>
      </c>
      <c r="F22" s="308">
        <f>SUM(C22:E22)</f>
        <v>88.84</v>
      </c>
      <c r="G22" s="309"/>
      <c r="H22" s="308">
        <f>ROUND(+$F$27,2)</f>
        <v>7.49</v>
      </c>
      <c r="I22" s="308">
        <f>ROUND(IF($B22&gt;600,600*$F$57,$B22*$F$37),2)</f>
        <v>58.07</v>
      </c>
      <c r="J22" s="308">
        <f>ROUND(IF($B22&gt;600,($B22-600)*$F$58,0),2)</f>
        <v>23.32</v>
      </c>
      <c r="K22" s="308">
        <f>SUM(H22:J22)</f>
        <v>88.88</v>
      </c>
      <c r="L22" s="308">
        <f>+K22-F22</f>
        <v>3.9999999999992042E-2</v>
      </c>
      <c r="M22" s="307">
        <f>+L22/F22</f>
        <v>4.5024763619982034E-4</v>
      </c>
    </row>
    <row r="23" spans="1:13" ht="11.4" thickTop="1" thickBot="1" x14ac:dyDescent="0.25">
      <c r="A23" s="311" t="s">
        <v>110</v>
      </c>
      <c r="B23" s="310">
        <v>1000</v>
      </c>
      <c r="C23" s="308">
        <f>ROUND(+$E$27,2)</f>
        <v>7.49</v>
      </c>
      <c r="D23" s="308">
        <f>ROUND(IF($B23&gt;600,600*$E$57,$B23*$E$37),2)</f>
        <v>58.04</v>
      </c>
      <c r="E23" s="308">
        <f>ROUND(IF($B23&gt;600,($B23-600)*$E$58,0),2)</f>
        <v>46.63</v>
      </c>
      <c r="F23" s="308">
        <f>SUM(C23:E23)</f>
        <v>112.16</v>
      </c>
      <c r="G23" s="309"/>
      <c r="H23" s="308">
        <f>ROUND(+$F$27,2)</f>
        <v>7.49</v>
      </c>
      <c r="I23" s="308">
        <f>ROUND(IF($B23&gt;600,600*$F$57,$B23*$F$37),2)</f>
        <v>58.07</v>
      </c>
      <c r="J23" s="308">
        <f>ROUND(IF($B23&gt;600,($B23-600)*$F$58,0),2)</f>
        <v>46.65</v>
      </c>
      <c r="K23" s="308">
        <f>SUM(H23:J23)</f>
        <v>112.21000000000001</v>
      </c>
      <c r="L23" s="308">
        <f>+K23-F23</f>
        <v>5.0000000000011369E-2</v>
      </c>
      <c r="M23" s="307">
        <f>+L23/F23</f>
        <v>4.4579172610566487E-4</v>
      </c>
    </row>
    <row r="24" spans="1:13" ht="10.8" thickTop="1" x14ac:dyDescent="0.2"/>
    <row r="25" spans="1:13" ht="30.6" x14ac:dyDescent="0.2">
      <c r="A25" s="306" t="s">
        <v>111</v>
      </c>
      <c r="B25" s="305"/>
      <c r="C25" s="305"/>
      <c r="D25" s="305"/>
      <c r="E25" s="304" t="s">
        <v>452</v>
      </c>
      <c r="F25" s="304" t="s">
        <v>453</v>
      </c>
    </row>
    <row r="26" spans="1:13" x14ac:dyDescent="0.2">
      <c r="A26" s="441" t="s">
        <v>52</v>
      </c>
      <c r="B26" s="441"/>
      <c r="C26" s="441"/>
      <c r="D26" s="441"/>
      <c r="E26" s="303"/>
      <c r="F26" s="303"/>
    </row>
    <row r="27" spans="1:13" x14ac:dyDescent="0.2">
      <c r="A27" s="445" t="s">
        <v>112</v>
      </c>
      <c r="B27" s="445"/>
      <c r="C27" s="445"/>
      <c r="D27" s="445"/>
      <c r="E27" s="302">
        <v>7.49</v>
      </c>
      <c r="F27" s="302">
        <f>+E27</f>
        <v>7.49</v>
      </c>
      <c r="G27" s="288" t="s">
        <v>53</v>
      </c>
    </row>
    <row r="28" spans="1:13" ht="10.8" thickBot="1" x14ac:dyDescent="0.25">
      <c r="A28" s="443" t="s">
        <v>95</v>
      </c>
      <c r="B28" s="443"/>
      <c r="C28" s="443"/>
      <c r="D28" s="443"/>
      <c r="E28" s="301">
        <f>SUM(E27)</f>
        <v>7.49</v>
      </c>
      <c r="F28" s="301">
        <f>SUM(F27:F27)</f>
        <v>7.49</v>
      </c>
    </row>
    <row r="29" spans="1:13" ht="10.8" thickTop="1" x14ac:dyDescent="0.2">
      <c r="A29" s="441" t="s">
        <v>54</v>
      </c>
      <c r="B29" s="441"/>
      <c r="C29" s="441"/>
      <c r="D29" s="441"/>
      <c r="E29" s="300"/>
      <c r="F29" s="300"/>
    </row>
    <row r="30" spans="1:13" x14ac:dyDescent="0.2">
      <c r="A30" s="445" t="s">
        <v>55</v>
      </c>
      <c r="B30" s="445"/>
      <c r="C30" s="445"/>
      <c r="D30" s="445"/>
      <c r="E30" s="297">
        <v>9.1343999999999995E-2</v>
      </c>
      <c r="F30" s="297">
        <f t="shared" ref="F30:F36" si="10">+E30</f>
        <v>9.1343999999999995E-2</v>
      </c>
      <c r="G30" s="288" t="s">
        <v>31</v>
      </c>
    </row>
    <row r="31" spans="1:13" x14ac:dyDescent="0.2">
      <c r="A31" s="445" t="s">
        <v>59</v>
      </c>
      <c r="B31" s="445"/>
      <c r="C31" s="445"/>
      <c r="D31" s="445"/>
      <c r="E31" s="297">
        <v>1.3519999999999999E-3</v>
      </c>
      <c r="F31" s="297">
        <f t="shared" si="10"/>
        <v>1.3519999999999999E-3</v>
      </c>
      <c r="G31" s="288" t="s">
        <v>31</v>
      </c>
    </row>
    <row r="32" spans="1:13" x14ac:dyDescent="0.2">
      <c r="A32" s="445" t="s">
        <v>91</v>
      </c>
      <c r="B32" s="445"/>
      <c r="C32" s="445"/>
      <c r="D32" s="445"/>
      <c r="E32" s="297">
        <v>3.0720000000000001E-3</v>
      </c>
      <c r="F32" s="297">
        <f t="shared" si="10"/>
        <v>3.0720000000000001E-3</v>
      </c>
      <c r="G32" s="292" t="s">
        <v>31</v>
      </c>
      <c r="H32" s="292"/>
      <c r="I32" s="292"/>
      <c r="J32" s="292"/>
    </row>
    <row r="33" spans="1:10" x14ac:dyDescent="0.2">
      <c r="A33" s="445" t="s">
        <v>392</v>
      </c>
      <c r="B33" s="445"/>
      <c r="C33" s="445"/>
      <c r="D33" s="445"/>
      <c r="E33" s="297">
        <v>8.4999999999999995E-4</v>
      </c>
      <c r="F33" s="297">
        <f t="shared" si="10"/>
        <v>8.4999999999999995E-4</v>
      </c>
      <c r="G33" s="292" t="s">
        <v>31</v>
      </c>
      <c r="H33" s="292"/>
      <c r="I33" s="292"/>
      <c r="J33" s="292"/>
    </row>
    <row r="34" spans="1:10" x14ac:dyDescent="0.2">
      <c r="A34" s="445" t="s">
        <v>390</v>
      </c>
      <c r="B34" s="445"/>
      <c r="C34" s="445"/>
      <c r="D34" s="445"/>
      <c r="E34" s="297">
        <v>0</v>
      </c>
      <c r="F34" s="297">
        <f t="shared" si="10"/>
        <v>0</v>
      </c>
      <c r="G34" s="292" t="s">
        <v>31</v>
      </c>
      <c r="H34" s="292"/>
      <c r="I34" s="292"/>
      <c r="J34" s="292"/>
    </row>
    <row r="35" spans="1:10" x14ac:dyDescent="0.2">
      <c r="A35" s="445" t="s">
        <v>389</v>
      </c>
      <c r="B35" s="445"/>
      <c r="C35" s="445"/>
      <c r="D35" s="445"/>
      <c r="E35" s="297">
        <v>-8.8400000000000002E-4</v>
      </c>
      <c r="F35" s="297">
        <f t="shared" si="10"/>
        <v>-8.8400000000000002E-4</v>
      </c>
      <c r="G35" s="292" t="s">
        <v>31</v>
      </c>
      <c r="H35" s="292"/>
      <c r="I35" s="292"/>
      <c r="J35" s="292"/>
    </row>
    <row r="36" spans="1:10" x14ac:dyDescent="0.2">
      <c r="A36" s="445" t="s">
        <v>92</v>
      </c>
      <c r="B36" s="445"/>
      <c r="C36" s="445"/>
      <c r="D36" s="445"/>
      <c r="E36" s="297">
        <f>-0.000417+0.000314</f>
        <v>-1.0300000000000001E-4</v>
      </c>
      <c r="F36" s="297">
        <f t="shared" si="10"/>
        <v>-1.0300000000000001E-4</v>
      </c>
      <c r="G36" s="292" t="s">
        <v>31</v>
      </c>
      <c r="H36" s="292"/>
      <c r="I36" s="292"/>
      <c r="J36" s="292"/>
    </row>
    <row r="37" spans="1:10" ht="10.8" thickBot="1" x14ac:dyDescent="0.25">
      <c r="A37" s="443" t="s">
        <v>96</v>
      </c>
      <c r="B37" s="443"/>
      <c r="C37" s="443"/>
      <c r="D37" s="443"/>
      <c r="E37" s="295">
        <f>SUM(E30:E36)</f>
        <v>9.5631000000000008E-2</v>
      </c>
      <c r="F37" s="295">
        <f>SUM(F30:F36)</f>
        <v>9.5631000000000008E-2</v>
      </c>
      <c r="G37" s="292" t="s">
        <v>31</v>
      </c>
      <c r="H37" s="292"/>
      <c r="I37" s="292"/>
      <c r="J37" s="292"/>
    </row>
    <row r="38" spans="1:10" ht="10.8" thickTop="1" x14ac:dyDescent="0.2">
      <c r="A38" s="441"/>
      <c r="B38" s="441"/>
      <c r="C38" s="441"/>
      <c r="D38" s="441"/>
      <c r="E38" s="297"/>
      <c r="F38" s="297"/>
    </row>
    <row r="39" spans="1:10" x14ac:dyDescent="0.2">
      <c r="A39" s="441" t="s">
        <v>56</v>
      </c>
      <c r="B39" s="441"/>
      <c r="C39" s="441"/>
      <c r="D39" s="441"/>
      <c r="E39" s="297">
        <v>0.111175</v>
      </c>
      <c r="F39" s="297">
        <f t="shared" ref="F39:F45" si="11">+E39</f>
        <v>0.111175</v>
      </c>
      <c r="G39" s="288" t="s">
        <v>31</v>
      </c>
    </row>
    <row r="40" spans="1:10" x14ac:dyDescent="0.2">
      <c r="A40" s="445" t="s">
        <v>59</v>
      </c>
      <c r="B40" s="445"/>
      <c r="C40" s="445"/>
      <c r="D40" s="445"/>
      <c r="E40" s="297">
        <f>E31</f>
        <v>1.3519999999999999E-3</v>
      </c>
      <c r="F40" s="297">
        <f t="shared" si="11"/>
        <v>1.3519999999999999E-3</v>
      </c>
      <c r="G40" s="288" t="s">
        <v>31</v>
      </c>
    </row>
    <row r="41" spans="1:10" x14ac:dyDescent="0.2">
      <c r="A41" s="299" t="s">
        <v>91</v>
      </c>
      <c r="B41" s="299"/>
      <c r="C41" s="299"/>
      <c r="D41" s="299"/>
      <c r="E41" s="297">
        <f>E32</f>
        <v>3.0720000000000001E-3</v>
      </c>
      <c r="F41" s="297">
        <f t="shared" si="11"/>
        <v>3.0720000000000001E-3</v>
      </c>
      <c r="G41" s="288" t="s">
        <v>31</v>
      </c>
    </row>
    <row r="42" spans="1:10" x14ac:dyDescent="0.2">
      <c r="A42" s="299" t="s">
        <v>391</v>
      </c>
      <c r="B42" s="299"/>
      <c r="C42" s="299"/>
      <c r="D42" s="299"/>
      <c r="E42" s="297">
        <f t="shared" ref="E42:E45" si="12">E33</f>
        <v>8.4999999999999995E-4</v>
      </c>
      <c r="F42" s="297">
        <f t="shared" si="11"/>
        <v>8.4999999999999995E-4</v>
      </c>
      <c r="G42" s="292" t="s">
        <v>31</v>
      </c>
      <c r="H42" s="292"/>
      <c r="I42" s="292"/>
      <c r="J42" s="292"/>
    </row>
    <row r="43" spans="1:10" x14ac:dyDescent="0.2">
      <c r="A43" s="299" t="s">
        <v>390</v>
      </c>
      <c r="B43" s="299"/>
      <c r="C43" s="299"/>
      <c r="D43" s="299"/>
      <c r="E43" s="297">
        <f t="shared" si="12"/>
        <v>0</v>
      </c>
      <c r="F43" s="297">
        <f t="shared" si="11"/>
        <v>0</v>
      </c>
      <c r="G43" s="292" t="s">
        <v>31</v>
      </c>
    </row>
    <row r="44" spans="1:10" x14ac:dyDescent="0.2">
      <c r="A44" s="445" t="s">
        <v>389</v>
      </c>
      <c r="B44" s="445"/>
      <c r="C44" s="445"/>
      <c r="D44" s="445"/>
      <c r="E44" s="297">
        <f t="shared" si="12"/>
        <v>-8.8400000000000002E-4</v>
      </c>
      <c r="F44" s="297">
        <f t="shared" si="11"/>
        <v>-8.8400000000000002E-4</v>
      </c>
      <c r="G44" s="292" t="s">
        <v>31</v>
      </c>
    </row>
    <row r="45" spans="1:10" x14ac:dyDescent="0.2">
      <c r="A45" s="299" t="s">
        <v>92</v>
      </c>
      <c r="B45" s="299"/>
      <c r="C45" s="299"/>
      <c r="D45" s="299"/>
      <c r="E45" s="297">
        <f t="shared" si="12"/>
        <v>-1.0300000000000001E-4</v>
      </c>
      <c r="F45" s="297">
        <f t="shared" si="11"/>
        <v>-1.0300000000000001E-4</v>
      </c>
      <c r="G45" s="292" t="s">
        <v>31</v>
      </c>
      <c r="H45" s="292"/>
      <c r="I45" s="292"/>
      <c r="J45" s="292"/>
    </row>
    <row r="46" spans="1:10" ht="10.8" thickBot="1" x14ac:dyDescent="0.25">
      <c r="A46" s="443" t="s">
        <v>97</v>
      </c>
      <c r="B46" s="443"/>
      <c r="C46" s="443"/>
      <c r="D46" s="443"/>
      <c r="E46" s="295">
        <f>SUM(E39:E45)</f>
        <v>0.11546200000000001</v>
      </c>
      <c r="F46" s="295">
        <f>SUM(F39:F45)</f>
        <v>0.11546200000000001</v>
      </c>
      <c r="G46" s="292" t="s">
        <v>31</v>
      </c>
      <c r="H46" s="292"/>
      <c r="I46" s="292"/>
      <c r="J46" s="292"/>
    </row>
    <row r="47" spans="1:10" ht="10.8" thickTop="1" x14ac:dyDescent="0.2">
      <c r="A47" s="441"/>
      <c r="B47" s="441"/>
      <c r="C47" s="441"/>
      <c r="D47" s="441"/>
      <c r="E47" s="297"/>
      <c r="F47" s="297"/>
      <c r="G47" s="292"/>
      <c r="H47" s="292"/>
      <c r="I47" s="292"/>
      <c r="J47" s="292"/>
    </row>
    <row r="48" spans="1:10" x14ac:dyDescent="0.2">
      <c r="A48" s="440" t="s">
        <v>60</v>
      </c>
      <c r="B48" s="440"/>
      <c r="C48" s="440"/>
      <c r="D48" s="440"/>
      <c r="E48" s="297">
        <v>-6.689136E-3</v>
      </c>
      <c r="F48" s="297">
        <f>+E48</f>
        <v>-6.689136E-3</v>
      </c>
      <c r="G48" s="292" t="s">
        <v>31</v>
      </c>
      <c r="H48" s="292"/>
      <c r="I48" s="292"/>
      <c r="J48" s="292"/>
    </row>
    <row r="49" spans="1:10" x14ac:dyDescent="0.2">
      <c r="A49" s="441"/>
      <c r="B49" s="441"/>
      <c r="C49" s="441"/>
      <c r="D49" s="441"/>
      <c r="E49" s="297"/>
      <c r="F49" s="297"/>
    </row>
    <row r="50" spans="1:10" x14ac:dyDescent="0.2">
      <c r="A50" s="441" t="s">
        <v>113</v>
      </c>
      <c r="B50" s="441"/>
      <c r="C50" s="441"/>
      <c r="D50" s="441"/>
      <c r="E50" s="297"/>
      <c r="F50" s="297"/>
      <c r="G50" s="288" t="s">
        <v>31</v>
      </c>
    </row>
    <row r="51" spans="1:10" x14ac:dyDescent="0.2">
      <c r="A51" s="442" t="s">
        <v>57</v>
      </c>
      <c r="B51" s="442"/>
      <c r="C51" s="442"/>
      <c r="D51" s="442"/>
      <c r="E51" s="297">
        <f>0.003314+0.002135</f>
        <v>5.4490000000000007E-3</v>
      </c>
      <c r="F51" s="297">
        <f>+E51</f>
        <v>5.4490000000000007E-3</v>
      </c>
      <c r="G51" s="288" t="s">
        <v>31</v>
      </c>
      <c r="H51" s="292"/>
      <c r="I51" s="292"/>
      <c r="J51" s="292"/>
    </row>
    <row r="52" spans="1:10" x14ac:dyDescent="0.2">
      <c r="A52" s="444" t="s">
        <v>89</v>
      </c>
      <c r="B52" s="444"/>
      <c r="C52" s="444"/>
      <c r="D52" s="444"/>
      <c r="E52" s="298">
        <f>'Rate Impacts'!F8</f>
        <v>-1.4400000000000001E-3</v>
      </c>
      <c r="F52" s="298">
        <f>'Rate Impacts'!G8</f>
        <v>-1.3910000000000001E-3</v>
      </c>
      <c r="G52" s="292" t="s">
        <v>31</v>
      </c>
      <c r="H52" s="292"/>
      <c r="I52" s="292"/>
      <c r="J52" s="292"/>
    </row>
    <row r="53" spans="1:10" x14ac:dyDescent="0.2">
      <c r="A53" s="445" t="s">
        <v>58</v>
      </c>
      <c r="B53" s="445"/>
      <c r="C53" s="445"/>
      <c r="D53" s="445"/>
      <c r="E53" s="297">
        <v>3.8249999999999998E-3</v>
      </c>
      <c r="F53" s="297">
        <f t="shared" ref="F53:F54" si="13">+E53</f>
        <v>3.8249999999999998E-3</v>
      </c>
      <c r="G53" s="292" t="s">
        <v>31</v>
      </c>
      <c r="H53" s="292"/>
      <c r="I53" s="292"/>
      <c r="J53" s="292"/>
    </row>
    <row r="54" spans="1:10" x14ac:dyDescent="0.2">
      <c r="A54" s="445" t="s">
        <v>90</v>
      </c>
      <c r="B54" s="445"/>
      <c r="C54" s="445"/>
      <c r="D54" s="445"/>
      <c r="E54" s="296">
        <v>-4.3000000000000002E-5</v>
      </c>
      <c r="F54" s="296">
        <f t="shared" si="13"/>
        <v>-4.3000000000000002E-5</v>
      </c>
      <c r="G54" s="292" t="s">
        <v>31</v>
      </c>
      <c r="H54" s="292"/>
      <c r="I54" s="292"/>
      <c r="J54" s="292"/>
    </row>
    <row r="55" spans="1:10" ht="10.8" thickBot="1" x14ac:dyDescent="0.25">
      <c r="A55" s="443" t="s">
        <v>114</v>
      </c>
      <c r="B55" s="443"/>
      <c r="C55" s="443"/>
      <c r="D55" s="443"/>
      <c r="E55" s="295">
        <f>SUM(E51:E54)</f>
        <v>7.791000000000001E-3</v>
      </c>
      <c r="F55" s="295">
        <f>SUM(F51:F54)</f>
        <v>7.8400000000000015E-3</v>
      </c>
      <c r="G55" s="292" t="s">
        <v>31</v>
      </c>
    </row>
    <row r="56" spans="1:10" ht="10.8" thickTop="1" x14ac:dyDescent="0.2">
      <c r="A56" s="441"/>
      <c r="B56" s="441"/>
      <c r="C56" s="441"/>
      <c r="D56" s="441"/>
      <c r="E56" s="294"/>
      <c r="F56" s="294"/>
    </row>
    <row r="57" spans="1:10" x14ac:dyDescent="0.2">
      <c r="A57" s="443" t="s">
        <v>115</v>
      </c>
      <c r="B57" s="443"/>
      <c r="C57" s="443"/>
      <c r="D57" s="443"/>
      <c r="E57" s="294">
        <f>SUM(E37,E48:E48,E55)</f>
        <v>9.6732864000000016E-2</v>
      </c>
      <c r="F57" s="294">
        <f>SUM(F37,F48:F48,F55)</f>
        <v>9.6781864000000009E-2</v>
      </c>
      <c r="G57" s="292" t="s">
        <v>31</v>
      </c>
      <c r="I57" s="291"/>
    </row>
    <row r="58" spans="1:10" x14ac:dyDescent="0.2">
      <c r="A58" s="443" t="s">
        <v>116</v>
      </c>
      <c r="B58" s="443"/>
      <c r="C58" s="443"/>
      <c r="D58" s="443"/>
      <c r="E58" s="293">
        <f>SUM(E46,E48:E48,E55)</f>
        <v>0.11656386400000002</v>
      </c>
      <c r="F58" s="293">
        <f>SUM(F46,F48:F48,F55)</f>
        <v>0.11661286400000001</v>
      </c>
      <c r="G58" s="292" t="s">
        <v>31</v>
      </c>
      <c r="I58" s="291"/>
    </row>
    <row r="60" spans="1:10" x14ac:dyDescent="0.2">
      <c r="F60" s="290"/>
    </row>
    <row r="61" spans="1:10" x14ac:dyDescent="0.2">
      <c r="F61" s="290"/>
    </row>
    <row r="64" spans="1:10" ht="13.2" x14ac:dyDescent="0.25">
      <c r="A64"/>
      <c r="B64"/>
      <c r="C64"/>
      <c r="D64"/>
      <c r="E64"/>
    </row>
    <row r="65" spans="1:14" ht="13.2" x14ac:dyDescent="0.25">
      <c r="A65"/>
      <c r="B65"/>
      <c r="C65"/>
      <c r="D65"/>
      <c r="E65"/>
      <c r="F65" s="289"/>
      <c r="G65" s="289"/>
      <c r="H65" s="289"/>
      <c r="I65" s="289"/>
      <c r="J65" s="289"/>
      <c r="K65" s="289"/>
      <c r="L65" s="289"/>
      <c r="M65" s="289"/>
      <c r="N65" s="289"/>
    </row>
    <row r="66" spans="1:14" ht="13.2" x14ac:dyDescent="0.25">
      <c r="A66"/>
      <c r="B66"/>
      <c r="C66"/>
      <c r="D66"/>
      <c r="E66"/>
    </row>
    <row r="67" spans="1:14" ht="13.2" x14ac:dyDescent="0.25">
      <c r="A67"/>
      <c r="B67"/>
      <c r="C67"/>
      <c r="D67"/>
      <c r="E67"/>
    </row>
    <row r="68" spans="1:14" ht="13.2" x14ac:dyDescent="0.25">
      <c r="A68"/>
      <c r="B68"/>
      <c r="C68"/>
      <c r="D68"/>
      <c r="E68"/>
    </row>
    <row r="69" spans="1:14" ht="13.2" x14ac:dyDescent="0.25">
      <c r="A69"/>
      <c r="B69"/>
      <c r="C69"/>
      <c r="D69"/>
      <c r="E69"/>
    </row>
    <row r="70" spans="1:14" ht="13.2" x14ac:dyDescent="0.25">
      <c r="A70"/>
      <c r="B70"/>
      <c r="C70"/>
      <c r="D70"/>
      <c r="E70"/>
    </row>
    <row r="71" spans="1:14" ht="13.2" x14ac:dyDescent="0.25">
      <c r="A71"/>
      <c r="B71"/>
      <c r="C71"/>
      <c r="D71"/>
      <c r="E71"/>
    </row>
    <row r="72" spans="1:14" ht="13.2" x14ac:dyDescent="0.25">
      <c r="A72"/>
      <c r="B72"/>
      <c r="C72"/>
      <c r="D72"/>
      <c r="E72"/>
    </row>
    <row r="73" spans="1:14" ht="13.2" x14ac:dyDescent="0.25">
      <c r="A73"/>
      <c r="B73"/>
      <c r="C73"/>
      <c r="D73"/>
      <c r="E73"/>
    </row>
    <row r="74" spans="1:14" ht="13.2" x14ac:dyDescent="0.25">
      <c r="A74"/>
      <c r="B74"/>
      <c r="C74"/>
      <c r="D74"/>
      <c r="E74"/>
    </row>
    <row r="75" spans="1:14" ht="13.2" x14ac:dyDescent="0.25">
      <c r="A75"/>
      <c r="B75"/>
      <c r="C75"/>
      <c r="D75"/>
      <c r="E75"/>
    </row>
    <row r="76" spans="1:14" ht="13.2" x14ac:dyDescent="0.25">
      <c r="A76"/>
      <c r="B76"/>
      <c r="C76"/>
      <c r="D76"/>
      <c r="E76"/>
    </row>
    <row r="77" spans="1:14" ht="13.2" x14ac:dyDescent="0.25">
      <c r="A77"/>
      <c r="B77"/>
      <c r="C77"/>
      <c r="D77"/>
      <c r="E77"/>
    </row>
    <row r="78" spans="1:14" ht="13.2" x14ac:dyDescent="0.25">
      <c r="A78"/>
      <c r="B78"/>
      <c r="C78"/>
      <c r="D78"/>
      <c r="E78"/>
    </row>
    <row r="79" spans="1:14" ht="13.2" x14ac:dyDescent="0.25">
      <c r="A79"/>
      <c r="B79"/>
      <c r="C79"/>
      <c r="D79"/>
      <c r="E79"/>
    </row>
    <row r="80" spans="1:14" ht="13.2" x14ac:dyDescent="0.25">
      <c r="A80"/>
      <c r="B80"/>
      <c r="C80"/>
      <c r="D80"/>
      <c r="E80"/>
    </row>
  </sheetData>
  <mergeCells count="31">
    <mergeCell ref="C5:F5"/>
    <mergeCell ref="H5:K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4:D44"/>
    <mergeCell ref="A46:D46"/>
    <mergeCell ref="A47:D47"/>
    <mergeCell ref="A48:D48"/>
    <mergeCell ref="A49:D49"/>
    <mergeCell ref="A50:D50"/>
    <mergeCell ref="A51:D51"/>
    <mergeCell ref="A58:D58"/>
    <mergeCell ref="A52:D52"/>
    <mergeCell ref="A53:D53"/>
    <mergeCell ref="A54:D54"/>
    <mergeCell ref="A55:D55"/>
    <mergeCell ref="A56:D56"/>
    <mergeCell ref="A57:D57"/>
  </mergeCells>
  <printOptions horizontalCentered="1"/>
  <pageMargins left="0.25" right="0.25" top="0.75" bottom="0.75" header="0.3" footer="0.3"/>
  <pageSetup scale="52" orientation="landscape" r:id="rId1"/>
  <headerFooter>
    <oddFooter>&amp;L&amp;"Times New Roman,Regular"&amp;F
&amp;A&amp;R&amp;"Times New Roman,Regular"Page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1:X49"/>
  <sheetViews>
    <sheetView zoomScale="85" zoomScaleNormal="85" workbookViewId="0">
      <pane xSplit="5" ySplit="8" topLeftCell="F9" activePane="bottomRight" state="frozen"/>
      <selection pane="topRight"/>
      <selection pane="bottomLeft"/>
      <selection pane="bottomRight"/>
    </sheetView>
  </sheetViews>
  <sheetFormatPr defaultRowHeight="14.4" x14ac:dyDescent="0.3"/>
  <cols>
    <col min="1" max="2" width="8.88671875" style="334"/>
    <col min="3" max="3" width="3.5546875" style="334" customWidth="1"/>
    <col min="4" max="4" width="68.88671875" style="334" bestFit="1" customWidth="1"/>
    <col min="5" max="5" width="2.33203125" style="334" customWidth="1"/>
    <col min="6" max="6" width="21.5546875" style="335" customWidth="1"/>
    <col min="7" max="7" width="21.6640625" style="335" customWidth="1"/>
    <col min="8" max="8" width="21.5546875" style="335" customWidth="1"/>
    <col min="9" max="9" width="4.6640625" style="334" customWidth="1"/>
    <col min="10" max="10" width="13.44140625" style="334" bestFit="1" customWidth="1"/>
    <col min="11" max="11" width="11.5546875" style="334" bestFit="1" customWidth="1"/>
    <col min="12" max="12" width="12.33203125" style="334" bestFit="1" customWidth="1"/>
    <col min="13" max="13" width="14.44140625" style="334" bestFit="1" customWidth="1"/>
    <col min="14" max="14" width="13.44140625" style="334" bestFit="1" customWidth="1"/>
    <col min="15" max="16" width="16.33203125" style="334" bestFit="1" customWidth="1"/>
    <col min="17" max="17" width="12.33203125" style="334" bestFit="1" customWidth="1"/>
    <col min="18" max="18" width="15.44140625" style="334" bestFit="1" customWidth="1"/>
    <col min="19" max="19" width="8.88671875" style="334"/>
    <col min="20" max="20" width="18" style="334" bestFit="1" customWidth="1"/>
    <col min="21" max="21" width="10.33203125" style="334" bestFit="1" customWidth="1"/>
    <col min="22" max="22" width="16.44140625" style="334" bestFit="1" customWidth="1"/>
    <col min="23" max="16384" width="8.88671875" style="334"/>
  </cols>
  <sheetData>
    <row r="1" spans="3:18" x14ac:dyDescent="0.3">
      <c r="C1" s="447" t="s">
        <v>75</v>
      </c>
      <c r="D1" s="447"/>
      <c r="E1" s="447"/>
      <c r="F1" s="447"/>
      <c r="G1" s="447"/>
      <c r="H1" s="447"/>
    </row>
    <row r="2" spans="3:18" ht="21" x14ac:dyDescent="0.4">
      <c r="C2" s="448" t="s">
        <v>341</v>
      </c>
      <c r="D2" s="448"/>
      <c r="E2" s="448"/>
      <c r="F2" s="448"/>
      <c r="G2" s="448"/>
      <c r="H2" s="448"/>
    </row>
    <row r="3" spans="3:18" s="335" customFormat="1" x14ac:dyDescent="0.3">
      <c r="C3" s="449" t="s">
        <v>414</v>
      </c>
      <c r="D3" s="449"/>
      <c r="E3" s="449"/>
      <c r="F3" s="449"/>
      <c r="G3" s="449"/>
      <c r="H3" s="449"/>
      <c r="I3" s="334"/>
    </row>
    <row r="4" spans="3:18" s="335" customFormat="1" x14ac:dyDescent="0.3">
      <c r="C4" s="449"/>
      <c r="D4" s="449"/>
      <c r="E4" s="449"/>
      <c r="F4" s="449"/>
      <c r="G4" s="449"/>
      <c r="H4" s="449"/>
      <c r="I4" s="334"/>
    </row>
    <row r="5" spans="3:18" s="335" customFormat="1" x14ac:dyDescent="0.3">
      <c r="C5" s="450" t="s">
        <v>342</v>
      </c>
      <c r="D5" s="450"/>
      <c r="E5" s="450"/>
      <c r="F5" s="450"/>
      <c r="G5" s="450"/>
      <c r="H5" s="450"/>
      <c r="I5" s="334"/>
    </row>
    <row r="6" spans="3:18" s="335" customFormat="1" ht="12" customHeight="1" thickBot="1" x14ac:dyDescent="0.35">
      <c r="D6" s="415"/>
      <c r="E6" s="414"/>
      <c r="F6" s="336"/>
      <c r="G6" s="336"/>
      <c r="I6" s="334"/>
    </row>
    <row r="7" spans="3:18" s="335" customFormat="1" ht="16.2" thickBot="1" x14ac:dyDescent="0.35">
      <c r="C7" s="413"/>
      <c r="D7" s="412"/>
      <c r="E7" s="411"/>
      <c r="F7" s="410" t="s">
        <v>81</v>
      </c>
      <c r="G7" s="409"/>
      <c r="H7" s="408"/>
      <c r="I7" s="334"/>
    </row>
    <row r="8" spans="3:18" s="335" customFormat="1" x14ac:dyDescent="0.3">
      <c r="C8" s="407"/>
      <c r="D8" s="406" t="s">
        <v>82</v>
      </c>
      <c r="E8" s="384"/>
      <c r="F8" s="405" t="s">
        <v>76</v>
      </c>
      <c r="G8" s="404" t="s">
        <v>77</v>
      </c>
      <c r="H8" s="403" t="s">
        <v>78</v>
      </c>
      <c r="I8" s="334"/>
    </row>
    <row r="9" spans="3:18" s="335" customFormat="1" x14ac:dyDescent="0.3">
      <c r="C9" s="362"/>
      <c r="D9" s="363"/>
      <c r="E9" s="345"/>
      <c r="F9" s="402" t="s">
        <v>83</v>
      </c>
      <c r="G9" s="401" t="s">
        <v>84</v>
      </c>
      <c r="H9" s="400" t="s">
        <v>85</v>
      </c>
      <c r="I9" s="334"/>
      <c r="J9" s="334"/>
      <c r="K9" s="334"/>
      <c r="L9" s="334"/>
      <c r="M9" s="334"/>
      <c r="N9" s="334"/>
      <c r="O9" s="334"/>
      <c r="P9" s="334"/>
      <c r="Q9" s="334"/>
      <c r="R9" s="334"/>
    </row>
    <row r="10" spans="3:18" s="335" customFormat="1" x14ac:dyDescent="0.3">
      <c r="C10" s="362"/>
      <c r="D10" s="363"/>
      <c r="E10" s="345"/>
      <c r="F10" s="362"/>
      <c r="G10" s="345"/>
      <c r="H10" s="361"/>
      <c r="I10" s="334"/>
      <c r="J10" s="334"/>
      <c r="K10" s="334"/>
      <c r="L10" s="334"/>
      <c r="M10" s="334"/>
      <c r="N10" s="334"/>
      <c r="O10" s="334"/>
      <c r="P10" s="334"/>
      <c r="Q10" s="334"/>
      <c r="R10" s="334"/>
    </row>
    <row r="11" spans="3:18" s="335" customFormat="1" x14ac:dyDescent="0.3">
      <c r="C11" s="360">
        <v>1</v>
      </c>
      <c r="D11" s="359" t="s">
        <v>86</v>
      </c>
      <c r="E11" s="345"/>
      <c r="F11" s="369">
        <v>-205261327</v>
      </c>
      <c r="G11" s="345"/>
      <c r="H11" s="399"/>
      <c r="I11" s="334"/>
      <c r="J11" s="334"/>
      <c r="K11" s="334"/>
      <c r="L11" s="334"/>
      <c r="M11" s="334"/>
      <c r="N11" s="334"/>
      <c r="O11" s="334"/>
      <c r="P11" s="334"/>
      <c r="Q11" s="334"/>
      <c r="R11" s="334"/>
    </row>
    <row r="12" spans="3:18" s="335" customFormat="1" x14ac:dyDescent="0.3">
      <c r="C12" s="360">
        <f t="shared" ref="C12:C36" si="0">C11+1</f>
        <v>2</v>
      </c>
      <c r="D12" s="359" t="s">
        <v>407</v>
      </c>
      <c r="E12" s="345"/>
      <c r="F12" s="369"/>
      <c r="G12" s="368">
        <v>-10109831.218819495</v>
      </c>
      <c r="H12" s="399"/>
      <c r="I12" s="334"/>
      <c r="J12" s="334"/>
      <c r="K12" s="334"/>
      <c r="L12" s="334"/>
      <c r="M12" s="334"/>
      <c r="N12" s="334"/>
      <c r="O12" s="334"/>
      <c r="P12" s="334"/>
      <c r="Q12" s="334"/>
      <c r="R12" s="334"/>
    </row>
    <row r="13" spans="3:18" s="335" customFormat="1" x14ac:dyDescent="0.3">
      <c r="C13" s="360">
        <f t="shared" si="0"/>
        <v>3</v>
      </c>
      <c r="D13" s="363"/>
      <c r="E13" s="345"/>
      <c r="F13" s="369"/>
      <c r="G13" s="368"/>
      <c r="H13" s="399"/>
      <c r="I13" s="334"/>
      <c r="J13" s="334"/>
      <c r="K13" s="334"/>
      <c r="L13" s="334"/>
      <c r="M13" s="334"/>
      <c r="N13" s="334"/>
      <c r="O13" s="334"/>
      <c r="P13" s="334"/>
      <c r="Q13" s="334"/>
      <c r="R13" s="334"/>
    </row>
    <row r="14" spans="3:18" s="335" customFormat="1" x14ac:dyDescent="0.3">
      <c r="C14" s="360">
        <f t="shared" si="0"/>
        <v>4</v>
      </c>
      <c r="D14" s="359" t="s">
        <v>93</v>
      </c>
      <c r="E14" s="366" t="s">
        <v>79</v>
      </c>
      <c r="F14" s="365">
        <v>10</v>
      </c>
      <c r="G14" s="368"/>
      <c r="H14" s="399"/>
      <c r="I14" s="334"/>
      <c r="J14" s="334"/>
      <c r="K14" s="334"/>
      <c r="L14" s="334"/>
      <c r="M14" s="334"/>
      <c r="N14" s="334"/>
      <c r="O14" s="334"/>
      <c r="P14" s="334"/>
      <c r="Q14" s="334"/>
      <c r="R14" s="334"/>
    </row>
    <row r="15" spans="3:18" s="335" customFormat="1" x14ac:dyDescent="0.3">
      <c r="C15" s="360">
        <f t="shared" si="0"/>
        <v>5</v>
      </c>
      <c r="D15" s="390" t="s">
        <v>422</v>
      </c>
      <c r="E15" s="384" t="s">
        <v>87</v>
      </c>
      <c r="F15" s="398"/>
      <c r="G15" s="397">
        <v>6.8000000000000005E-2</v>
      </c>
      <c r="H15" s="396"/>
      <c r="I15" s="334"/>
      <c r="J15" s="334"/>
      <c r="K15" s="334"/>
      <c r="L15" s="334"/>
      <c r="M15" s="334"/>
      <c r="N15" s="334"/>
      <c r="O15" s="334"/>
      <c r="P15" s="334"/>
      <c r="Q15" s="334"/>
      <c r="R15" s="334"/>
    </row>
    <row r="16" spans="3:18" s="335" customFormat="1" x14ac:dyDescent="0.3">
      <c r="C16" s="360">
        <f t="shared" si="0"/>
        <v>6</v>
      </c>
      <c r="D16" s="363"/>
      <c r="E16" s="345"/>
      <c r="F16" s="381"/>
      <c r="G16" s="380"/>
      <c r="H16" s="379"/>
      <c r="I16" s="334"/>
      <c r="J16" s="334"/>
      <c r="K16" s="334"/>
      <c r="L16" s="334"/>
      <c r="M16" s="334"/>
      <c r="N16" s="334"/>
      <c r="O16" s="334"/>
      <c r="P16" s="334"/>
      <c r="Q16" s="334"/>
      <c r="R16" s="334"/>
    </row>
    <row r="17" spans="3:18" s="335" customFormat="1" x14ac:dyDescent="0.3">
      <c r="C17" s="360">
        <f t="shared" si="0"/>
        <v>7</v>
      </c>
      <c r="D17" s="363" t="s">
        <v>94</v>
      </c>
      <c r="E17" s="345"/>
      <c r="F17" s="365">
        <f>F11/F14</f>
        <v>-20526132.699999999</v>
      </c>
      <c r="G17" s="340">
        <f>G12*G15</f>
        <v>-687468.52287972567</v>
      </c>
      <c r="H17" s="364">
        <f>+G17+F17</f>
        <v>-21213601.222879726</v>
      </c>
      <c r="I17" s="334"/>
      <c r="J17" s="334"/>
      <c r="K17" s="334"/>
      <c r="L17" s="334"/>
      <c r="M17" s="334"/>
      <c r="N17" s="334"/>
      <c r="O17" s="334"/>
      <c r="P17" s="334"/>
      <c r="Q17" s="334"/>
      <c r="R17" s="334"/>
    </row>
    <row r="18" spans="3:18" s="335" customFormat="1" x14ac:dyDescent="0.3">
      <c r="C18" s="360">
        <f t="shared" si="0"/>
        <v>8</v>
      </c>
      <c r="D18" s="363"/>
      <c r="E18" s="345"/>
      <c r="F18" s="372"/>
      <c r="G18" s="371"/>
      <c r="H18" s="370"/>
      <c r="I18" s="334"/>
      <c r="J18" s="334"/>
      <c r="K18" s="334"/>
      <c r="L18" s="334"/>
      <c r="M18" s="334"/>
      <c r="N18" s="334"/>
      <c r="O18" s="395"/>
      <c r="P18" s="373"/>
      <c r="Q18" s="334"/>
      <c r="R18" s="334"/>
    </row>
    <row r="19" spans="3:18" s="335" customFormat="1" x14ac:dyDescent="0.3">
      <c r="C19" s="360">
        <f t="shared" si="0"/>
        <v>9</v>
      </c>
      <c r="D19" s="390" t="s">
        <v>400</v>
      </c>
      <c r="E19" s="389" t="s">
        <v>79</v>
      </c>
      <c r="F19" s="394">
        <v>0.79</v>
      </c>
      <c r="G19" s="393">
        <f>F19</f>
        <v>0.79</v>
      </c>
      <c r="H19" s="392">
        <f>G19</f>
        <v>0.79</v>
      </c>
      <c r="I19" s="334"/>
      <c r="J19" s="334"/>
      <c r="K19" s="334"/>
      <c r="L19" s="334"/>
      <c r="M19" s="334"/>
      <c r="N19" s="334"/>
      <c r="O19" s="334"/>
      <c r="P19" s="334"/>
      <c r="Q19" s="334"/>
      <c r="R19" s="334"/>
    </row>
    <row r="20" spans="3:18" s="335" customFormat="1" x14ac:dyDescent="0.3">
      <c r="C20" s="360">
        <f t="shared" si="0"/>
        <v>10</v>
      </c>
      <c r="D20" s="363"/>
      <c r="E20" s="366"/>
      <c r="F20" s="362"/>
      <c r="G20" s="345"/>
      <c r="H20" s="391"/>
      <c r="I20" s="334"/>
      <c r="J20" s="334"/>
      <c r="K20" s="334"/>
      <c r="L20" s="334"/>
      <c r="M20" s="334"/>
      <c r="N20" s="334"/>
      <c r="O20" s="334"/>
      <c r="P20" s="334"/>
      <c r="Q20" s="334"/>
      <c r="R20" s="334"/>
    </row>
    <row r="21" spans="3:18" s="335" customFormat="1" x14ac:dyDescent="0.3">
      <c r="C21" s="360">
        <f t="shared" si="0"/>
        <v>11</v>
      </c>
      <c r="D21" s="359" t="s">
        <v>80</v>
      </c>
      <c r="E21" s="366"/>
      <c r="F21" s="365">
        <f>F17/F19</f>
        <v>-25982446.455696199</v>
      </c>
      <c r="G21" s="340">
        <f>G17/G19</f>
        <v>-870213.32010091853</v>
      </c>
      <c r="H21" s="364">
        <f>+G21+F21</f>
        <v>-26852659.775797118</v>
      </c>
      <c r="I21" s="334"/>
      <c r="J21" s="334"/>
      <c r="K21" s="334"/>
      <c r="L21" s="334"/>
      <c r="M21" s="334"/>
      <c r="N21" s="334"/>
      <c r="O21" s="334"/>
      <c r="P21" s="334"/>
      <c r="Q21" s="334"/>
      <c r="R21" s="334"/>
    </row>
    <row r="22" spans="3:18" s="335" customFormat="1" x14ac:dyDescent="0.3">
      <c r="C22" s="360">
        <f t="shared" si="0"/>
        <v>12</v>
      </c>
      <c r="D22" s="363"/>
      <c r="E22" s="345"/>
      <c r="F22" s="362"/>
      <c r="G22" s="345"/>
      <c r="H22" s="361"/>
      <c r="I22" s="334"/>
      <c r="J22" s="334"/>
      <c r="K22" s="334"/>
      <c r="L22" s="334"/>
      <c r="M22" s="334"/>
      <c r="N22" s="334"/>
      <c r="O22" s="334"/>
      <c r="P22" s="334"/>
      <c r="Q22" s="334"/>
      <c r="R22" s="334"/>
    </row>
    <row r="23" spans="3:18" s="335" customFormat="1" x14ac:dyDescent="0.3">
      <c r="C23" s="360">
        <f t="shared" si="0"/>
        <v>13</v>
      </c>
      <c r="D23" s="390" t="s">
        <v>421</v>
      </c>
      <c r="E23" s="389" t="s">
        <v>79</v>
      </c>
      <c r="F23" s="388">
        <v>0.95111500000000004</v>
      </c>
      <c r="G23" s="387">
        <v>0.95111500000000004</v>
      </c>
      <c r="H23" s="386">
        <v>0.95111500000000004</v>
      </c>
      <c r="I23" s="334"/>
      <c r="J23" s="334"/>
      <c r="K23" s="334"/>
      <c r="L23" s="334"/>
      <c r="M23" s="334"/>
      <c r="N23" s="334"/>
      <c r="O23" s="334"/>
      <c r="P23" s="334"/>
      <c r="Q23" s="334"/>
      <c r="R23" s="334"/>
    </row>
    <row r="24" spans="3:18" s="335" customFormat="1" x14ac:dyDescent="0.3">
      <c r="C24" s="360">
        <f t="shared" si="0"/>
        <v>14</v>
      </c>
      <c r="D24" s="363"/>
      <c r="E24" s="345"/>
      <c r="F24" s="381"/>
      <c r="G24" s="380"/>
      <c r="H24" s="379"/>
      <c r="I24" s="334"/>
      <c r="J24" s="334"/>
      <c r="K24" s="334"/>
      <c r="L24" s="334"/>
      <c r="M24" s="334"/>
      <c r="N24" s="334"/>
      <c r="O24" s="334"/>
      <c r="P24" s="334"/>
      <c r="Q24" s="334"/>
      <c r="R24" s="334"/>
    </row>
    <row r="25" spans="3:18" s="335" customFormat="1" x14ac:dyDescent="0.3">
      <c r="C25" s="360">
        <f t="shared" si="0"/>
        <v>15</v>
      </c>
      <c r="D25" s="359" t="s">
        <v>408</v>
      </c>
      <c r="E25" s="345"/>
      <c r="F25" s="365">
        <f>F21/F23</f>
        <v>-27317881.071895827</v>
      </c>
      <c r="G25" s="340">
        <f>G21/G23</f>
        <v>-914940.17032737203</v>
      </c>
      <c r="H25" s="364">
        <f>+G25+F25</f>
        <v>-28232821.242223199</v>
      </c>
      <c r="I25" s="334"/>
      <c r="J25" s="334"/>
      <c r="K25" s="334"/>
      <c r="L25" s="334"/>
      <c r="M25" s="334"/>
      <c r="N25" s="334"/>
      <c r="O25" s="334"/>
      <c r="P25" s="334"/>
      <c r="Q25" s="334"/>
      <c r="R25" s="334"/>
    </row>
    <row r="26" spans="3:18" s="335" customFormat="1" x14ac:dyDescent="0.3">
      <c r="C26" s="360">
        <f t="shared" si="0"/>
        <v>16</v>
      </c>
      <c r="D26" s="359"/>
      <c r="E26" s="345"/>
      <c r="F26" s="362"/>
      <c r="G26" s="345"/>
      <c r="H26" s="361"/>
      <c r="I26" s="334"/>
      <c r="J26" s="334"/>
      <c r="K26" s="334"/>
      <c r="L26" s="334"/>
      <c r="M26" s="334"/>
      <c r="N26" s="334"/>
      <c r="O26" s="334"/>
      <c r="P26" s="334"/>
      <c r="Q26" s="334"/>
      <c r="R26" s="334"/>
    </row>
    <row r="27" spans="3:18" s="335" customFormat="1" x14ac:dyDescent="0.3">
      <c r="C27" s="360">
        <f t="shared" si="0"/>
        <v>17</v>
      </c>
      <c r="D27" s="385" t="s">
        <v>409</v>
      </c>
      <c r="E27" s="384"/>
      <c r="F27" s="365">
        <v>57903.061389318595</v>
      </c>
      <c r="G27" s="383">
        <v>-52553.095115154749</v>
      </c>
      <c r="H27" s="382">
        <f>+G27+F27</f>
        <v>5349.9662741638458</v>
      </c>
      <c r="I27" s="334"/>
      <c r="J27" s="334"/>
      <c r="K27" s="334"/>
      <c r="L27" s="334"/>
      <c r="M27" s="334"/>
      <c r="N27" s="334"/>
      <c r="O27" s="334"/>
      <c r="P27" s="334"/>
      <c r="Q27" s="334"/>
      <c r="R27" s="334"/>
    </row>
    <row r="28" spans="3:18" s="335" customFormat="1" x14ac:dyDescent="0.3">
      <c r="C28" s="360">
        <f t="shared" si="0"/>
        <v>18</v>
      </c>
      <c r="D28" s="363"/>
      <c r="E28" s="345"/>
      <c r="F28" s="381"/>
      <c r="G28" s="380"/>
      <c r="H28" s="379"/>
      <c r="I28" s="334"/>
      <c r="J28" s="334"/>
      <c r="K28" s="334"/>
      <c r="L28" s="334"/>
      <c r="M28" s="334"/>
      <c r="N28" s="334"/>
      <c r="O28" s="334"/>
      <c r="P28" s="334"/>
      <c r="Q28" s="334"/>
      <c r="R28" s="334"/>
    </row>
    <row r="29" spans="3:18" s="335" customFormat="1" ht="16.2" customHeight="1" thickBot="1" x14ac:dyDescent="0.35">
      <c r="C29" s="360">
        <f t="shared" si="0"/>
        <v>19</v>
      </c>
      <c r="D29" s="378" t="s">
        <v>410</v>
      </c>
      <c r="E29" s="377"/>
      <c r="F29" s="376">
        <f>SUM(F25:F28)</f>
        <v>-27259978.010506507</v>
      </c>
      <c r="G29" s="375">
        <f>SUM(G25:G28)</f>
        <v>-967493.26544252678</v>
      </c>
      <c r="H29" s="374">
        <f>+G29+F29</f>
        <v>-28227471.275949035</v>
      </c>
      <c r="I29" s="334"/>
      <c r="J29" s="340"/>
      <c r="K29" s="334"/>
      <c r="L29" s="334"/>
      <c r="M29" s="334"/>
      <c r="N29" s="334"/>
      <c r="O29" s="373"/>
      <c r="P29" s="334"/>
      <c r="Q29" s="334"/>
      <c r="R29" s="334"/>
    </row>
    <row r="30" spans="3:18" s="335" customFormat="1" ht="15" thickTop="1" x14ac:dyDescent="0.3">
      <c r="C30" s="360">
        <f t="shared" si="0"/>
        <v>20</v>
      </c>
      <c r="D30" s="359"/>
      <c r="E30" s="345"/>
      <c r="F30" s="372"/>
      <c r="G30" s="371"/>
      <c r="H30" s="370"/>
      <c r="I30" s="334"/>
      <c r="J30" s="334"/>
      <c r="K30" s="334"/>
      <c r="L30" s="334"/>
      <c r="M30" s="334"/>
      <c r="N30" s="334"/>
      <c r="O30" s="334"/>
      <c r="P30" s="334"/>
      <c r="Q30" s="334"/>
      <c r="R30" s="334"/>
    </row>
    <row r="31" spans="3:18" s="335" customFormat="1" x14ac:dyDescent="0.3">
      <c r="C31" s="360">
        <f t="shared" si="0"/>
        <v>21</v>
      </c>
      <c r="D31" s="359" t="s">
        <v>411</v>
      </c>
      <c r="E31" s="366"/>
      <c r="F31" s="369">
        <v>20219267</v>
      </c>
      <c r="G31" s="368">
        <f>F31</f>
        <v>20219267</v>
      </c>
      <c r="H31" s="367">
        <f>G31</f>
        <v>20219267</v>
      </c>
      <c r="I31" s="334"/>
      <c r="J31" s="334"/>
      <c r="K31" s="334"/>
      <c r="L31" s="334"/>
      <c r="M31" s="334"/>
      <c r="N31" s="334"/>
      <c r="O31" s="334"/>
      <c r="P31" s="334"/>
      <c r="Q31" s="334"/>
      <c r="R31" s="334"/>
    </row>
    <row r="32" spans="3:18" s="335" customFormat="1" x14ac:dyDescent="0.3">
      <c r="C32" s="360">
        <f t="shared" si="0"/>
        <v>22</v>
      </c>
      <c r="D32" s="359" t="s">
        <v>412</v>
      </c>
      <c r="E32" s="366"/>
      <c r="F32" s="358">
        <f>F29/$F$31/10</f>
        <v>-0.13482179156398949</v>
      </c>
      <c r="G32" s="357">
        <f>G29/$F$31/10</f>
        <v>-4.7850066248322793E-3</v>
      </c>
      <c r="H32" s="356">
        <f>H29/$F$31/10</f>
        <v>-0.13960679818882177</v>
      </c>
      <c r="I32" s="334"/>
      <c r="J32" s="334"/>
      <c r="K32" s="334"/>
      <c r="L32" s="334"/>
      <c r="M32" s="334"/>
      <c r="N32" s="334"/>
      <c r="O32" s="334"/>
      <c r="P32" s="334"/>
      <c r="Q32" s="334"/>
      <c r="R32" s="334"/>
    </row>
    <row r="33" spans="3:24" s="335" customFormat="1" x14ac:dyDescent="0.3">
      <c r="C33" s="360">
        <f t="shared" si="0"/>
        <v>23</v>
      </c>
      <c r="D33" s="359"/>
      <c r="E33" s="366"/>
      <c r="F33" s="365"/>
      <c r="G33" s="340"/>
      <c r="H33" s="364"/>
      <c r="I33" s="334"/>
      <c r="J33" s="334"/>
      <c r="K33" s="334"/>
      <c r="L33" s="334"/>
      <c r="M33" s="334"/>
      <c r="N33" s="334"/>
      <c r="O33" s="334"/>
      <c r="P33" s="334"/>
      <c r="Q33" s="334"/>
      <c r="R33" s="334"/>
    </row>
    <row r="34" spans="3:24" s="335" customFormat="1" x14ac:dyDescent="0.3">
      <c r="C34" s="360">
        <f t="shared" si="0"/>
        <v>24</v>
      </c>
      <c r="D34" s="359" t="s">
        <v>413</v>
      </c>
      <c r="E34" s="345"/>
      <c r="F34" s="358">
        <v>-0.13045081316846813</v>
      </c>
      <c r="G34" s="357">
        <v>-1.5015710433029305E-2</v>
      </c>
      <c r="H34" s="356">
        <f>SUM(F34:G34)</f>
        <v>-0.14546652360149742</v>
      </c>
      <c r="I34" s="334"/>
      <c r="J34" s="334"/>
      <c r="K34" s="334"/>
      <c r="L34" s="334"/>
      <c r="M34" s="334"/>
      <c r="N34" s="334"/>
      <c r="O34" s="334"/>
      <c r="P34" s="334"/>
      <c r="Q34" s="334"/>
      <c r="R34" s="334"/>
    </row>
    <row r="35" spans="3:24" s="335" customFormat="1" x14ac:dyDescent="0.3">
      <c r="C35" s="360">
        <f t="shared" si="0"/>
        <v>25</v>
      </c>
      <c r="D35" s="363"/>
      <c r="E35" s="345"/>
      <c r="F35" s="362"/>
      <c r="G35" s="345"/>
      <c r="H35" s="361"/>
      <c r="I35" s="334"/>
      <c r="J35" s="334"/>
      <c r="K35" s="334"/>
      <c r="L35" s="334"/>
      <c r="M35" s="334"/>
      <c r="N35" s="334"/>
      <c r="O35" s="334"/>
      <c r="P35" s="334"/>
      <c r="Q35" s="334"/>
      <c r="R35" s="334"/>
    </row>
    <row r="36" spans="3:24" s="335" customFormat="1" x14ac:dyDescent="0.3">
      <c r="C36" s="360">
        <f t="shared" si="0"/>
        <v>26</v>
      </c>
      <c r="D36" s="359" t="s">
        <v>88</v>
      </c>
      <c r="E36" s="345"/>
      <c r="F36" s="358">
        <f>F34-F32</f>
        <v>4.3709783955213632E-3</v>
      </c>
      <c r="G36" s="357">
        <f>G34-G32</f>
        <v>-1.0230703808197026E-2</v>
      </c>
      <c r="H36" s="356">
        <f>H34-H32</f>
        <v>-5.8597254126756537E-3</v>
      </c>
      <c r="I36" s="334"/>
      <c r="J36" s="334"/>
      <c r="K36" s="334"/>
      <c r="L36" s="334"/>
      <c r="M36" s="334"/>
      <c r="N36" s="334"/>
      <c r="O36" s="334"/>
      <c r="P36" s="334"/>
      <c r="Q36" s="334"/>
      <c r="R36" s="334"/>
    </row>
    <row r="37" spans="3:24" s="335" customFormat="1" ht="15" thickBot="1" x14ac:dyDescent="0.35">
      <c r="C37" s="355"/>
      <c r="D37" s="354"/>
      <c r="E37" s="353"/>
      <c r="F37" s="352"/>
      <c r="G37" s="351"/>
      <c r="H37" s="350"/>
      <c r="I37" s="334"/>
      <c r="J37" s="334"/>
      <c r="K37" s="334"/>
      <c r="L37" s="334"/>
      <c r="M37" s="334"/>
      <c r="N37" s="334"/>
      <c r="O37" s="334"/>
      <c r="P37" s="334"/>
      <c r="Q37" s="334"/>
      <c r="R37" s="334"/>
    </row>
    <row r="38" spans="3:24" s="345" customFormat="1" x14ac:dyDescent="0.3">
      <c r="C38" s="349"/>
      <c r="D38" s="348"/>
      <c r="F38" s="347"/>
      <c r="G38" s="347"/>
      <c r="H38" s="347"/>
      <c r="I38" s="334"/>
      <c r="J38" s="346"/>
      <c r="K38" s="346"/>
      <c r="L38" s="346"/>
      <c r="M38" s="346"/>
      <c r="N38" s="346"/>
      <c r="O38" s="346"/>
      <c r="P38" s="346"/>
      <c r="Q38" s="334"/>
      <c r="R38" s="334"/>
      <c r="S38" s="334"/>
      <c r="T38" s="334"/>
      <c r="U38" s="334"/>
      <c r="V38" s="334"/>
      <c r="W38" s="334"/>
      <c r="X38" s="334"/>
    </row>
    <row r="39" spans="3:24" s="335" customFormat="1" x14ac:dyDescent="0.3">
      <c r="D39" s="344"/>
      <c r="F39" s="343"/>
      <c r="G39" s="343"/>
      <c r="H39" s="343"/>
      <c r="I39" s="334"/>
      <c r="J39" s="342"/>
      <c r="K39" s="342"/>
      <c r="L39" s="342"/>
      <c r="M39" s="342"/>
      <c r="N39" s="342"/>
      <c r="O39" s="342"/>
      <c r="P39" s="342"/>
      <c r="Q39" s="334"/>
      <c r="R39" s="334"/>
      <c r="S39" s="334"/>
      <c r="T39" s="334"/>
      <c r="U39" s="334"/>
      <c r="V39" s="334"/>
      <c r="W39" s="334"/>
      <c r="X39" s="334"/>
    </row>
    <row r="40" spans="3:24" s="335" customFormat="1" x14ac:dyDescent="0.3">
      <c r="D40" s="335" t="s">
        <v>420</v>
      </c>
      <c r="E40" s="334"/>
      <c r="F40" s="334"/>
      <c r="G40" s="334"/>
      <c r="H40" s="334"/>
      <c r="I40" s="334"/>
      <c r="Q40" s="334"/>
      <c r="R40" s="334"/>
      <c r="S40" s="334"/>
      <c r="T40" s="334"/>
      <c r="U40" s="334"/>
      <c r="V40" s="334"/>
      <c r="W40" s="334"/>
      <c r="X40" s="334"/>
    </row>
    <row r="41" spans="3:24" s="335" customFormat="1" x14ac:dyDescent="0.3">
      <c r="D41" s="339" t="s">
        <v>419</v>
      </c>
      <c r="E41" s="334"/>
      <c r="F41" s="341">
        <v>-29521981.473365977</v>
      </c>
      <c r="I41" s="334"/>
      <c r="Q41" s="334"/>
      <c r="R41" s="334"/>
      <c r="S41" s="334"/>
      <c r="T41" s="334"/>
      <c r="U41" s="334"/>
      <c r="V41" s="334"/>
      <c r="W41" s="334"/>
      <c r="X41" s="334"/>
    </row>
    <row r="42" spans="3:24" s="335" customFormat="1" x14ac:dyDescent="0.3">
      <c r="D42" s="339" t="s">
        <v>418</v>
      </c>
      <c r="E42" s="334"/>
      <c r="F42" s="340">
        <v>-539144.75797898276</v>
      </c>
      <c r="I42" s="334"/>
      <c r="Q42" s="334"/>
      <c r="R42" s="334"/>
      <c r="S42" s="334"/>
      <c r="T42" s="334"/>
      <c r="U42" s="334"/>
      <c r="V42" s="334"/>
      <c r="W42" s="334"/>
      <c r="X42" s="334"/>
    </row>
    <row r="43" spans="3:24" s="335" customFormat="1" x14ac:dyDescent="0.3">
      <c r="D43" s="339" t="s">
        <v>417</v>
      </c>
      <c r="E43" s="334"/>
      <c r="F43" s="336">
        <v>1828304.9891217612</v>
      </c>
      <c r="I43" s="334"/>
      <c r="Q43" s="334"/>
      <c r="R43" s="334"/>
      <c r="S43" s="334"/>
      <c r="T43" s="334"/>
      <c r="U43" s="334"/>
      <c r="V43" s="334"/>
      <c r="W43" s="334"/>
      <c r="X43" s="334"/>
    </row>
    <row r="44" spans="3:24" s="335" customFormat="1" x14ac:dyDescent="0.3">
      <c r="D44" s="339" t="s">
        <v>416</v>
      </c>
      <c r="F44" s="336">
        <f>H27</f>
        <v>5349.9662741638458</v>
      </c>
      <c r="I44" s="334"/>
      <c r="Q44" s="334"/>
      <c r="R44" s="334"/>
      <c r="S44" s="334"/>
      <c r="T44" s="334"/>
      <c r="U44" s="334"/>
      <c r="V44" s="334"/>
      <c r="W44" s="334"/>
      <c r="X44" s="334"/>
    </row>
    <row r="45" spans="3:24" s="335" customFormat="1" ht="15" thickBot="1" x14ac:dyDescent="0.35">
      <c r="D45" s="338" t="s">
        <v>415</v>
      </c>
      <c r="F45" s="337">
        <f>H29</f>
        <v>-28227471.275949035</v>
      </c>
      <c r="I45" s="334"/>
      <c r="Q45" s="334"/>
      <c r="R45" s="334"/>
      <c r="S45" s="334"/>
      <c r="T45" s="334"/>
      <c r="U45" s="334"/>
      <c r="V45" s="334"/>
      <c r="W45" s="334"/>
      <c r="X45" s="334"/>
    </row>
    <row r="46" spans="3:24" s="335" customFormat="1" ht="15" thickTop="1" x14ac:dyDescent="0.3">
      <c r="F46" s="336">
        <f>SUM(F41:F44)-F45</f>
        <v>0</v>
      </c>
      <c r="I46" s="334"/>
      <c r="Q46" s="334"/>
      <c r="R46" s="334"/>
      <c r="S46" s="334"/>
      <c r="T46" s="334"/>
      <c r="U46" s="334"/>
      <c r="V46" s="334"/>
      <c r="W46" s="334"/>
      <c r="X46" s="334"/>
    </row>
    <row r="47" spans="3:24" s="335" customFormat="1" x14ac:dyDescent="0.3">
      <c r="I47" s="334"/>
      <c r="Q47" s="334"/>
      <c r="R47" s="334"/>
      <c r="S47" s="334"/>
      <c r="T47" s="334"/>
      <c r="U47" s="334"/>
      <c r="V47" s="334"/>
      <c r="W47" s="334"/>
      <c r="X47" s="334"/>
    </row>
    <row r="48" spans="3:24" s="335" customFormat="1" x14ac:dyDescent="0.3">
      <c r="I48" s="334"/>
      <c r="Q48" s="334"/>
      <c r="R48" s="334"/>
      <c r="S48" s="334"/>
      <c r="T48" s="334"/>
      <c r="U48" s="334"/>
      <c r="V48" s="334"/>
      <c r="W48" s="334"/>
      <c r="X48" s="334"/>
    </row>
    <row r="49" spans="9:24" s="335" customFormat="1" x14ac:dyDescent="0.3">
      <c r="I49" s="334"/>
      <c r="Q49" s="334"/>
      <c r="R49" s="334"/>
      <c r="S49" s="334"/>
      <c r="T49" s="334"/>
      <c r="U49" s="334"/>
      <c r="V49" s="334"/>
      <c r="W49" s="334"/>
      <c r="X49" s="334"/>
    </row>
  </sheetData>
  <mergeCells count="5">
    <mergeCell ref="C1:H1"/>
    <mergeCell ref="C2:H2"/>
    <mergeCell ref="C3:H3"/>
    <mergeCell ref="C4:H4"/>
    <mergeCell ref="C5:H5"/>
  </mergeCells>
  <conditionalFormatting sqref="F6:G6">
    <cfRule type="cellIs" dxfId="0" priority="1" operator="notEqual">
      <formula>0</formula>
    </cfRule>
  </conditionalFormatting>
  <printOptions horizontalCentered="1"/>
  <pageMargins left="0.35" right="0.35" top="0.39" bottom="0" header="0.3" footer="0.05"/>
  <pageSetup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zoomScaleNormal="100" workbookViewId="0">
      <pane xSplit="3" ySplit="6" topLeftCell="D13" activePane="bottomRight" state="frozen"/>
      <selection activeCell="L8" sqref="L8"/>
      <selection pane="topRight" activeCell="L8" sqref="L8"/>
      <selection pane="bottomLeft" activeCell="L8" sqref="L8"/>
      <selection pane="bottomRight" activeCell="G23" sqref="G23"/>
    </sheetView>
  </sheetViews>
  <sheetFormatPr defaultColWidth="9.109375" defaultRowHeight="13.2" x14ac:dyDescent="0.25"/>
  <cols>
    <col min="1" max="1" width="4.44140625" style="330" bestFit="1" customWidth="1"/>
    <col min="2" max="2" width="30.88671875" style="14" bestFit="1" customWidth="1"/>
    <col min="3" max="3" width="13.44140625" style="330" bestFit="1" customWidth="1"/>
    <col min="4" max="4" width="16.33203125" style="70" bestFit="1" customWidth="1"/>
    <col min="5" max="5" width="17.6640625" style="70" bestFit="1" customWidth="1"/>
    <col min="6" max="6" width="14.6640625" style="70" bestFit="1" customWidth="1"/>
    <col min="7" max="7" width="15.33203125" style="14" bestFit="1" customWidth="1"/>
    <col min="8" max="8" width="17.6640625" style="14" bestFit="1" customWidth="1"/>
    <col min="9" max="9" width="16.33203125" style="70" bestFit="1" customWidth="1"/>
    <col min="10" max="10" width="14.44140625" style="14" customWidth="1"/>
    <col min="11" max="11" width="10.5546875" style="14" customWidth="1"/>
    <col min="12" max="12" width="9.109375" style="14"/>
    <col min="13" max="13" width="17.6640625" style="14" bestFit="1" customWidth="1"/>
    <col min="14" max="14" width="15.5546875" style="14" bestFit="1" customWidth="1"/>
    <col min="15" max="16384" width="9.109375" style="14"/>
  </cols>
  <sheetData>
    <row r="1" spans="1:14" x14ac:dyDescent="0.25">
      <c r="A1" s="7" t="s">
        <v>13</v>
      </c>
      <c r="B1" s="8"/>
      <c r="C1" s="8"/>
      <c r="D1" s="8"/>
      <c r="E1" s="8"/>
      <c r="F1" s="8"/>
      <c r="G1" s="8"/>
      <c r="H1" s="8"/>
      <c r="I1" s="8"/>
      <c r="J1" s="8"/>
      <c r="K1" s="9"/>
    </row>
    <row r="2" spans="1:14" x14ac:dyDescent="0.25">
      <c r="A2" s="10" t="s">
        <v>74</v>
      </c>
      <c r="B2" s="11"/>
      <c r="C2" s="11"/>
      <c r="D2" s="11"/>
      <c r="E2" s="11"/>
      <c r="F2" s="11"/>
      <c r="G2" s="11"/>
      <c r="H2" s="11"/>
      <c r="I2" s="11"/>
      <c r="J2" s="11"/>
      <c r="K2" s="12"/>
    </row>
    <row r="3" spans="1:14" x14ac:dyDescent="0.25">
      <c r="A3" s="13"/>
      <c r="K3" s="16"/>
    </row>
    <row r="4" spans="1:14" s="18" customFormat="1" x14ac:dyDescent="0.25">
      <c r="A4" s="17"/>
      <c r="D4" s="19"/>
      <c r="E4" s="19"/>
      <c r="F4" s="19"/>
      <c r="G4" s="20"/>
      <c r="H4" s="19"/>
      <c r="I4" s="19"/>
      <c r="J4" s="20"/>
      <c r="K4" s="21"/>
    </row>
    <row r="5" spans="1:14" s="18" customFormat="1" ht="66.599999999999994" thickBot="1" x14ac:dyDescent="0.3">
      <c r="A5" s="22" t="s">
        <v>0</v>
      </c>
      <c r="B5" s="23" t="s">
        <v>17</v>
      </c>
      <c r="C5" s="23" t="s">
        <v>18</v>
      </c>
      <c r="D5" s="24" t="s">
        <v>378</v>
      </c>
      <c r="E5" s="25" t="s">
        <v>379</v>
      </c>
      <c r="F5" s="25" t="s">
        <v>380</v>
      </c>
      <c r="G5" s="25" t="s">
        <v>381</v>
      </c>
      <c r="H5" s="25" t="s">
        <v>382</v>
      </c>
      <c r="I5" s="25" t="s">
        <v>383</v>
      </c>
      <c r="J5" s="23" t="s">
        <v>19</v>
      </c>
      <c r="K5" s="26" t="s">
        <v>20</v>
      </c>
    </row>
    <row r="6" spans="1:14" s="28" customFormat="1" ht="26.4" x14ac:dyDescent="0.25">
      <c r="A6" s="27"/>
      <c r="D6" s="29" t="s">
        <v>14</v>
      </c>
      <c r="E6" s="29" t="s">
        <v>15</v>
      </c>
      <c r="F6" s="30" t="s">
        <v>16</v>
      </c>
      <c r="G6" s="28" t="s">
        <v>66</v>
      </c>
      <c r="H6" s="29" t="s">
        <v>104</v>
      </c>
      <c r="I6" s="29" t="s">
        <v>105</v>
      </c>
      <c r="J6" s="28" t="s">
        <v>67</v>
      </c>
      <c r="K6" s="31" t="s">
        <v>68</v>
      </c>
    </row>
    <row r="7" spans="1:14" x14ac:dyDescent="0.25">
      <c r="A7" s="13"/>
      <c r="K7" s="16"/>
      <c r="M7" s="18"/>
      <c r="N7" s="18"/>
    </row>
    <row r="8" spans="1:14" x14ac:dyDescent="0.25">
      <c r="A8" s="13">
        <v>1</v>
      </c>
      <c r="B8" s="14" t="s">
        <v>1</v>
      </c>
      <c r="C8" s="330">
        <v>7</v>
      </c>
      <c r="D8" s="70">
        <v>10966324000</v>
      </c>
      <c r="E8" s="32">
        <v>1186488000</v>
      </c>
      <c r="F8" s="33">
        <v>-1.8929999999999999E-3</v>
      </c>
      <c r="G8" s="33">
        <v>-1.4400000000000001E-3</v>
      </c>
      <c r="H8" s="32">
        <v>1165728748.668</v>
      </c>
      <c r="I8" s="32">
        <v>1170696493.4400001</v>
      </c>
      <c r="J8" s="32">
        <v>4967744.7720000744</v>
      </c>
      <c r="K8" s="34">
        <v>4.2614928881837934E-3</v>
      </c>
      <c r="M8" s="113"/>
      <c r="N8" s="115"/>
    </row>
    <row r="9" spans="1:14" x14ac:dyDescent="0.25">
      <c r="A9" s="13">
        <v>2</v>
      </c>
      <c r="E9" s="32"/>
      <c r="F9" s="32"/>
      <c r="G9" s="32"/>
      <c r="H9" s="35"/>
      <c r="I9" s="32"/>
      <c r="J9" s="32"/>
      <c r="K9" s="34"/>
      <c r="M9" s="113"/>
      <c r="N9" s="18"/>
    </row>
    <row r="10" spans="1:14" x14ac:dyDescent="0.25">
      <c r="A10" s="13">
        <v>3</v>
      </c>
      <c r="B10" s="36" t="s">
        <v>2</v>
      </c>
      <c r="C10" s="330" t="s">
        <v>98</v>
      </c>
      <c r="D10" s="70">
        <v>2695442000</v>
      </c>
      <c r="E10" s="32">
        <v>292959000</v>
      </c>
      <c r="F10" s="33">
        <v>-1.7520000000000001E-3</v>
      </c>
      <c r="G10" s="33">
        <v>-1.451E-3</v>
      </c>
      <c r="H10" s="32">
        <v>288236585.616</v>
      </c>
      <c r="I10" s="32">
        <v>289047913.65799999</v>
      </c>
      <c r="J10" s="32">
        <v>811328.04199999571</v>
      </c>
      <c r="K10" s="34">
        <v>2.8147989619918636E-3</v>
      </c>
      <c r="M10" s="113"/>
      <c r="N10" s="115"/>
    </row>
    <row r="11" spans="1:14" x14ac:dyDescent="0.25">
      <c r="A11" s="13">
        <v>4</v>
      </c>
      <c r="B11" s="37" t="s">
        <v>3</v>
      </c>
      <c r="C11" s="38" t="s">
        <v>99</v>
      </c>
      <c r="D11" s="70">
        <v>2864927000</v>
      </c>
      <c r="E11" s="32">
        <v>280760000</v>
      </c>
      <c r="F11" s="33">
        <v>-1.665E-3</v>
      </c>
      <c r="G11" s="33">
        <v>-1.498E-3</v>
      </c>
      <c r="H11" s="32">
        <v>275989896.54500002</v>
      </c>
      <c r="I11" s="32">
        <v>276468339.35399997</v>
      </c>
      <c r="J11" s="32">
        <v>478442.80899995565</v>
      </c>
      <c r="K11" s="34">
        <v>1.7335518980563327E-3</v>
      </c>
      <c r="M11" s="113"/>
      <c r="N11" s="115"/>
    </row>
    <row r="12" spans="1:14" x14ac:dyDescent="0.25">
      <c r="A12" s="13">
        <v>5</v>
      </c>
      <c r="B12" s="37" t="s">
        <v>4</v>
      </c>
      <c r="C12" s="330" t="s">
        <v>101</v>
      </c>
      <c r="D12" s="70">
        <v>1692365000</v>
      </c>
      <c r="E12" s="32">
        <v>154855000</v>
      </c>
      <c r="F12" s="33">
        <v>-1.8309999999999999E-3</v>
      </c>
      <c r="G12" s="33">
        <v>-1.5690000000000001E-3</v>
      </c>
      <c r="H12" s="32">
        <v>151756279.685</v>
      </c>
      <c r="I12" s="32">
        <v>152199679.315</v>
      </c>
      <c r="J12" s="32">
        <v>443399.62999999523</v>
      </c>
      <c r="K12" s="34">
        <v>2.9217876908972621E-3</v>
      </c>
      <c r="M12" s="113"/>
      <c r="N12" s="115"/>
    </row>
    <row r="13" spans="1:14" x14ac:dyDescent="0.25">
      <c r="A13" s="13">
        <v>6</v>
      </c>
      <c r="B13" s="37" t="s">
        <v>5</v>
      </c>
      <c r="C13" s="330">
        <v>29</v>
      </c>
      <c r="D13" s="70">
        <v>14610000</v>
      </c>
      <c r="E13" s="32">
        <v>1137000</v>
      </c>
      <c r="F13" s="33">
        <v>-1.366E-3</v>
      </c>
      <c r="G13" s="33">
        <v>-1.2459999999999999E-3</v>
      </c>
      <c r="H13" s="32">
        <v>1117042.74</v>
      </c>
      <c r="I13" s="32">
        <v>1118795.94</v>
      </c>
      <c r="J13" s="32">
        <v>1753.1999999999534</v>
      </c>
      <c r="K13" s="34">
        <v>1.5695012708286825E-3</v>
      </c>
      <c r="M13" s="113"/>
      <c r="N13" s="115"/>
    </row>
    <row r="14" spans="1:14" x14ac:dyDescent="0.25">
      <c r="A14" s="13">
        <v>7</v>
      </c>
      <c r="E14" s="32"/>
      <c r="F14" s="35"/>
      <c r="G14" s="35"/>
      <c r="H14" s="35"/>
      <c r="I14" s="32"/>
      <c r="J14" s="32"/>
      <c r="K14" s="34"/>
      <c r="M14" s="113"/>
      <c r="N14" s="18"/>
    </row>
    <row r="15" spans="1:14" x14ac:dyDescent="0.25">
      <c r="A15" s="13">
        <v>8</v>
      </c>
      <c r="B15" s="14" t="s">
        <v>21</v>
      </c>
      <c r="D15" s="70">
        <v>7267344000</v>
      </c>
      <c r="E15" s="32">
        <v>729711000</v>
      </c>
      <c r="F15" s="33">
        <v>-1.7353238561433175E-3</v>
      </c>
      <c r="G15" s="33">
        <v>-1.4965951430123579E-3</v>
      </c>
      <c r="H15" s="32">
        <v>717099804.58599997</v>
      </c>
      <c r="I15" s="32">
        <v>718834728.26699996</v>
      </c>
      <c r="J15" s="32">
        <v>1734923.6809999465</v>
      </c>
      <c r="K15" s="34">
        <v>2.4193615308563112E-3</v>
      </c>
      <c r="M15" s="113"/>
      <c r="N15" s="18"/>
    </row>
    <row r="16" spans="1:14" x14ac:dyDescent="0.25">
      <c r="A16" s="13">
        <v>9</v>
      </c>
      <c r="E16" s="32"/>
      <c r="F16" s="35"/>
      <c r="G16" s="35"/>
      <c r="H16" s="35"/>
      <c r="I16" s="32"/>
      <c r="J16" s="32"/>
      <c r="K16" s="34"/>
      <c r="M16" s="114"/>
      <c r="N16" s="18"/>
    </row>
    <row r="17" spans="1:14" x14ac:dyDescent="0.25">
      <c r="A17" s="13">
        <v>10</v>
      </c>
      <c r="B17" s="37" t="s">
        <v>6</v>
      </c>
      <c r="C17" s="330" t="s">
        <v>100</v>
      </c>
      <c r="D17" s="70">
        <v>1291578000</v>
      </c>
      <c r="E17" s="32">
        <v>116546000</v>
      </c>
      <c r="F17" s="33">
        <v>-1.642E-3</v>
      </c>
      <c r="G17" s="33">
        <v>-1.4350000000000001E-3</v>
      </c>
      <c r="H17" s="32">
        <v>114425228.92399999</v>
      </c>
      <c r="I17" s="32">
        <v>114692585.56999999</v>
      </c>
      <c r="J17" s="32">
        <v>267356.64599999785</v>
      </c>
      <c r="K17" s="34">
        <v>2.3365183405276231E-3</v>
      </c>
      <c r="M17" s="113"/>
      <c r="N17" s="115"/>
    </row>
    <row r="18" spans="1:14" x14ac:dyDescent="0.25">
      <c r="A18" s="13">
        <v>11</v>
      </c>
      <c r="B18" s="37" t="s">
        <v>7</v>
      </c>
      <c r="C18" s="330">
        <v>35</v>
      </c>
      <c r="D18" s="70">
        <v>4335000</v>
      </c>
      <c r="E18" s="32">
        <v>261000</v>
      </c>
      <c r="F18" s="33">
        <v>-1.3060000000000001E-3</v>
      </c>
      <c r="G18" s="33">
        <v>-1.0690000000000001E-3</v>
      </c>
      <c r="H18" s="32">
        <v>255338.49</v>
      </c>
      <c r="I18" s="32">
        <v>256365.88500000001</v>
      </c>
      <c r="J18" s="32">
        <v>1027.3950000000186</v>
      </c>
      <c r="K18" s="34">
        <v>4.0236589477756317E-3</v>
      </c>
      <c r="M18" s="113"/>
      <c r="N18" s="115"/>
    </row>
    <row r="19" spans="1:14" x14ac:dyDescent="0.25">
      <c r="A19" s="13">
        <v>12</v>
      </c>
      <c r="B19" s="37" t="s">
        <v>8</v>
      </c>
      <c r="C19" s="330">
        <v>43</v>
      </c>
      <c r="D19" s="70">
        <v>111277000</v>
      </c>
      <c r="E19" s="32">
        <v>10663000</v>
      </c>
      <c r="F19" s="33">
        <v>-1.3630000000000001E-3</v>
      </c>
      <c r="G19" s="33">
        <v>-1.1460000000000001E-3</v>
      </c>
      <c r="H19" s="32">
        <v>10511329.448999999</v>
      </c>
      <c r="I19" s="32">
        <v>10535476.558</v>
      </c>
      <c r="J19" s="32">
        <v>24147.109000001103</v>
      </c>
      <c r="K19" s="34">
        <v>2.297245949445372E-3</v>
      </c>
      <c r="M19" s="113"/>
      <c r="N19" s="115"/>
    </row>
    <row r="20" spans="1:14" x14ac:dyDescent="0.25">
      <c r="A20" s="13">
        <v>13</v>
      </c>
      <c r="B20" s="39"/>
      <c r="E20" s="32"/>
      <c r="F20" s="35"/>
      <c r="G20" s="35"/>
      <c r="H20" s="35"/>
      <c r="I20" s="32"/>
      <c r="J20" s="32"/>
      <c r="K20" s="34"/>
      <c r="M20" s="113"/>
      <c r="N20" s="18"/>
    </row>
    <row r="21" spans="1:14" x14ac:dyDescent="0.25">
      <c r="A21" s="13">
        <v>14</v>
      </c>
      <c r="B21" s="39" t="s">
        <v>22</v>
      </c>
      <c r="D21" s="70">
        <v>1407190000</v>
      </c>
      <c r="E21" s="32">
        <v>127470000</v>
      </c>
      <c r="F21" s="33">
        <v>-1.6189023067247491E-3</v>
      </c>
      <c r="G21" s="33">
        <v>-1.4110191139789228E-3</v>
      </c>
      <c r="H21" s="32">
        <v>125191896.86299999</v>
      </c>
      <c r="I21" s="32">
        <v>125484428.013</v>
      </c>
      <c r="J21" s="32">
        <v>292531.14999999898</v>
      </c>
      <c r="K21" s="34">
        <v>2.3366620151152569E-3</v>
      </c>
      <c r="M21" s="114"/>
      <c r="N21" s="18"/>
    </row>
    <row r="22" spans="1:14" x14ac:dyDescent="0.25">
      <c r="A22" s="13">
        <v>15</v>
      </c>
      <c r="B22" s="39"/>
      <c r="E22" s="32"/>
      <c r="F22" s="35"/>
      <c r="G22" s="35"/>
      <c r="H22" s="35"/>
      <c r="I22" s="32"/>
      <c r="J22" s="32"/>
      <c r="K22" s="34"/>
      <c r="M22" s="114"/>
      <c r="N22" s="18"/>
    </row>
    <row r="23" spans="1:14" x14ac:dyDescent="0.25">
      <c r="A23" s="13">
        <v>16</v>
      </c>
      <c r="B23" s="37" t="s">
        <v>23</v>
      </c>
      <c r="C23" s="330">
        <v>46</v>
      </c>
      <c r="D23" s="70">
        <v>65285000</v>
      </c>
      <c r="E23" s="32">
        <v>4705000</v>
      </c>
      <c r="F23" s="33">
        <v>-1.0349999999999999E-3</v>
      </c>
      <c r="G23" s="33">
        <v>-1.225E-3</v>
      </c>
      <c r="H23" s="32">
        <v>4637430.0250000004</v>
      </c>
      <c r="I23" s="32">
        <v>4625025.875</v>
      </c>
      <c r="J23" s="32">
        <v>-12404.150000000373</v>
      </c>
      <c r="K23" s="34">
        <v>-2.6747896859102196E-3</v>
      </c>
      <c r="M23" s="113"/>
      <c r="N23" s="115"/>
    </row>
    <row r="24" spans="1:14" x14ac:dyDescent="0.25">
      <c r="A24" s="13">
        <v>17</v>
      </c>
      <c r="B24" s="36" t="s">
        <v>24</v>
      </c>
      <c r="C24" s="330">
        <v>49</v>
      </c>
      <c r="D24" s="70">
        <v>517424000</v>
      </c>
      <c r="E24" s="32">
        <v>37046000</v>
      </c>
      <c r="F24" s="33">
        <v>-1.6260000000000001E-3</v>
      </c>
      <c r="G24" s="33">
        <v>-1.3259999999999999E-3</v>
      </c>
      <c r="H24" s="32">
        <v>36204668.575999998</v>
      </c>
      <c r="I24" s="32">
        <v>36359895.776000001</v>
      </c>
      <c r="J24" s="32">
        <v>155227.20000000298</v>
      </c>
      <c r="K24" s="34">
        <v>4.2874912574922116E-3</v>
      </c>
      <c r="M24" s="113"/>
      <c r="N24" s="115"/>
    </row>
    <row r="25" spans="1:14" x14ac:dyDescent="0.25">
      <c r="A25" s="13">
        <v>18</v>
      </c>
      <c r="E25" s="32"/>
      <c r="F25" s="35"/>
      <c r="G25" s="35"/>
      <c r="H25" s="35"/>
      <c r="I25" s="32"/>
      <c r="J25" s="32"/>
      <c r="K25" s="34"/>
      <c r="M25" s="113"/>
      <c r="N25" s="18"/>
    </row>
    <row r="26" spans="1:14" x14ac:dyDescent="0.25">
      <c r="A26" s="13">
        <v>19</v>
      </c>
      <c r="B26" s="40" t="s">
        <v>25</v>
      </c>
      <c r="D26" s="70">
        <v>582709000</v>
      </c>
      <c r="E26" s="32">
        <v>41751000</v>
      </c>
      <c r="F26" s="33">
        <v>-1.5597861007810073E-3</v>
      </c>
      <c r="G26" s="33">
        <v>-1.3146842574938776E-3</v>
      </c>
      <c r="H26" s="70">
        <v>40842098.600999996</v>
      </c>
      <c r="I26" s="70">
        <v>40984921.651000001</v>
      </c>
      <c r="J26" s="32">
        <v>142823.05000000261</v>
      </c>
      <c r="K26" s="34">
        <v>3.4969566915571196E-3</v>
      </c>
      <c r="M26" s="113"/>
      <c r="N26" s="18"/>
    </row>
    <row r="27" spans="1:14" x14ac:dyDescent="0.25">
      <c r="A27" s="13">
        <v>20</v>
      </c>
      <c r="E27" s="32"/>
      <c r="F27" s="35"/>
      <c r="G27" s="35"/>
      <c r="H27" s="35"/>
      <c r="I27" s="32"/>
      <c r="J27" s="32"/>
      <c r="K27" s="34"/>
      <c r="M27" s="114"/>
      <c r="N27" s="18"/>
    </row>
    <row r="28" spans="1:14" x14ac:dyDescent="0.25">
      <c r="A28" s="13">
        <v>21</v>
      </c>
      <c r="B28" s="14" t="s">
        <v>9</v>
      </c>
      <c r="C28" s="330" t="s">
        <v>63</v>
      </c>
      <c r="D28" s="70">
        <v>63689000</v>
      </c>
      <c r="E28" s="32">
        <v>16230000</v>
      </c>
      <c r="F28" s="33">
        <v>-2.036E-3</v>
      </c>
      <c r="G28" s="33">
        <v>-1.438E-3</v>
      </c>
      <c r="H28" s="32">
        <v>16100329.196</v>
      </c>
      <c r="I28" s="32">
        <v>16138415.218</v>
      </c>
      <c r="J28" s="32">
        <v>38086.021999999881</v>
      </c>
      <c r="K28" s="34">
        <v>2.3655430604153146E-3</v>
      </c>
      <c r="M28" s="113"/>
      <c r="N28" s="115"/>
    </row>
    <row r="29" spans="1:14" x14ac:dyDescent="0.25">
      <c r="A29" s="13">
        <v>22</v>
      </c>
      <c r="E29" s="32"/>
      <c r="F29" s="35"/>
      <c r="G29" s="35"/>
      <c r="I29" s="32"/>
      <c r="J29" s="32"/>
      <c r="K29" s="34"/>
      <c r="M29" s="113"/>
      <c r="N29" s="18"/>
    </row>
    <row r="30" spans="1:14" x14ac:dyDescent="0.25">
      <c r="A30" s="13">
        <v>23</v>
      </c>
      <c r="B30" s="41" t="s">
        <v>26</v>
      </c>
      <c r="C30" s="38" t="s">
        <v>27</v>
      </c>
      <c r="D30" s="70">
        <v>7435000</v>
      </c>
      <c r="E30" s="32">
        <v>718000</v>
      </c>
      <c r="F30" s="33">
        <v>-1.761E-3</v>
      </c>
      <c r="G30" s="33">
        <v>-1.3699999999999999E-3</v>
      </c>
      <c r="H30" s="32">
        <v>704906.96499999997</v>
      </c>
      <c r="I30" s="32">
        <v>707814.05</v>
      </c>
      <c r="J30" s="32">
        <v>2907.0850000000792</v>
      </c>
      <c r="K30" s="34">
        <v>4.1240690535666357E-3</v>
      </c>
      <c r="M30" s="18"/>
      <c r="N30" s="18"/>
    </row>
    <row r="31" spans="1:14" x14ac:dyDescent="0.25">
      <c r="A31" s="13">
        <v>24</v>
      </c>
      <c r="B31" s="41"/>
      <c r="C31" s="38"/>
      <c r="E31" s="32"/>
      <c r="F31" s="35"/>
      <c r="G31" s="35"/>
      <c r="H31" s="35"/>
      <c r="I31" s="32"/>
      <c r="J31" s="32"/>
      <c r="K31" s="34"/>
      <c r="M31" s="18"/>
      <c r="N31" s="18"/>
    </row>
    <row r="32" spans="1:14" x14ac:dyDescent="0.25">
      <c r="A32" s="13">
        <v>25</v>
      </c>
      <c r="B32" s="37" t="s">
        <v>10</v>
      </c>
      <c r="D32" s="70">
        <v>20294691000</v>
      </c>
      <c r="E32" s="70">
        <v>2102368000</v>
      </c>
      <c r="F32" s="33">
        <v>-1.8083653070155141E-3</v>
      </c>
      <c r="G32" s="33">
        <v>-1.4546652360149749E-3</v>
      </c>
      <c r="H32" s="32">
        <v>2065667784.8789999</v>
      </c>
      <c r="I32" s="32">
        <v>2072846800.6389999</v>
      </c>
      <c r="J32" s="32">
        <v>7179015.7600000221</v>
      </c>
      <c r="K32" s="34">
        <v>3.4753970665329158E-3</v>
      </c>
      <c r="M32" s="18"/>
      <c r="N32" s="18"/>
    </row>
    <row r="33" spans="1:14" x14ac:dyDescent="0.25">
      <c r="A33" s="13">
        <v>26</v>
      </c>
      <c r="B33" s="40"/>
      <c r="E33" s="32"/>
      <c r="F33" s="35"/>
      <c r="G33" s="35"/>
      <c r="H33" s="35"/>
      <c r="I33" s="32"/>
      <c r="J33" s="32"/>
      <c r="K33" s="34"/>
      <c r="M33" s="18"/>
      <c r="N33" s="18"/>
    </row>
    <row r="34" spans="1:14" x14ac:dyDescent="0.25">
      <c r="A34" s="13">
        <v>27</v>
      </c>
      <c r="B34" s="40" t="s">
        <v>28</v>
      </c>
      <c r="E34" s="32"/>
      <c r="F34" s="32"/>
      <c r="G34" s="35"/>
      <c r="H34" s="35"/>
      <c r="I34" s="32"/>
      <c r="J34" s="32"/>
      <c r="K34" s="34"/>
      <c r="M34" s="18"/>
      <c r="N34" s="18"/>
    </row>
    <row r="35" spans="1:14" x14ac:dyDescent="0.25">
      <c r="A35" s="13">
        <v>28</v>
      </c>
      <c r="B35" s="37" t="s">
        <v>343</v>
      </c>
      <c r="C35" s="38" t="s">
        <v>344</v>
      </c>
      <c r="D35" s="70">
        <v>2468540000</v>
      </c>
      <c r="E35" s="32">
        <v>22194000</v>
      </c>
      <c r="F35" s="32"/>
      <c r="G35" s="35"/>
      <c r="H35" s="32">
        <v>22194000</v>
      </c>
      <c r="I35" s="32">
        <v>22194000</v>
      </c>
      <c r="J35" s="32">
        <v>0</v>
      </c>
      <c r="K35" s="34"/>
      <c r="M35" s="18"/>
      <c r="N35" s="18"/>
    </row>
    <row r="36" spans="1:14" x14ac:dyDescent="0.25">
      <c r="A36" s="13">
        <v>29</v>
      </c>
      <c r="B36" s="40"/>
      <c r="E36" s="32"/>
      <c r="F36" s="32"/>
      <c r="G36" s="35"/>
      <c r="H36" s="35"/>
      <c r="I36" s="32"/>
      <c r="J36" s="32"/>
      <c r="K36" s="34"/>
      <c r="M36" s="18"/>
    </row>
    <row r="37" spans="1:14" x14ac:dyDescent="0.25">
      <c r="A37" s="13">
        <v>30</v>
      </c>
      <c r="B37" s="40" t="s">
        <v>12</v>
      </c>
      <c r="D37" s="70">
        <v>22763231000</v>
      </c>
      <c r="E37" s="32">
        <v>2124562000</v>
      </c>
      <c r="F37" s="32"/>
      <c r="G37" s="35"/>
      <c r="H37" s="32">
        <v>2087861784.8789999</v>
      </c>
      <c r="I37" s="32">
        <v>2095040800.6389999</v>
      </c>
      <c r="J37" s="32">
        <v>7179015.7600000221</v>
      </c>
      <c r="K37" s="34"/>
      <c r="M37" s="18"/>
    </row>
    <row r="38" spans="1:14" ht="13.8" thickBot="1" x14ac:dyDescent="0.3">
      <c r="A38" s="42"/>
      <c r="B38" s="43"/>
      <c r="C38" s="44"/>
      <c r="D38" s="45"/>
      <c r="E38" s="46"/>
      <c r="F38" s="46"/>
      <c r="G38" s="43"/>
      <c r="H38" s="43"/>
      <c r="I38" s="45"/>
      <c r="J38" s="43"/>
      <c r="K38" s="47"/>
      <c r="M38" s="115"/>
      <c r="N38" s="115"/>
    </row>
    <row r="39" spans="1:14" ht="13.8" thickBot="1" x14ac:dyDescent="0.3">
      <c r="J39" s="32"/>
    </row>
    <row r="40" spans="1:14" ht="42.6" customHeight="1" thickBot="1" x14ac:dyDescent="0.3">
      <c r="A40" s="427" t="s">
        <v>399</v>
      </c>
      <c r="B40" s="428"/>
      <c r="C40" s="428"/>
      <c r="D40" s="428"/>
      <c r="E40" s="428"/>
      <c r="F40" s="428"/>
      <c r="G40" s="428"/>
      <c r="H40" s="428"/>
      <c r="I40" s="428"/>
      <c r="J40" s="428"/>
      <c r="K40" s="429"/>
    </row>
    <row r="41" spans="1:14" x14ac:dyDescent="0.25">
      <c r="E41" s="32"/>
    </row>
    <row r="42" spans="1:14" x14ac:dyDescent="0.25">
      <c r="E42" s="32"/>
    </row>
  </sheetData>
  <mergeCells count="1">
    <mergeCell ref="A40:K40"/>
  </mergeCells>
  <printOptions horizontalCentered="1"/>
  <pageMargins left="0.7" right="0.7" top="0.75" bottom="0.75" header="0.3" footer="0.3"/>
  <pageSetup scale="81" orientation="landscape" r:id="rId1"/>
  <headerFooter alignWithMargins="0">
    <oddFooter>&amp;L&amp;F
&amp;A&amp;RSchedule 95A Filing Eff 1-1-21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F15" sqref="F15"/>
    </sheetView>
  </sheetViews>
  <sheetFormatPr defaultColWidth="8.88671875" defaultRowHeight="14.4" x14ac:dyDescent="0.3"/>
  <cols>
    <col min="1" max="1" width="7.6640625" style="196" bestFit="1" customWidth="1"/>
    <col min="2" max="2" width="15.6640625" style="196" bestFit="1" customWidth="1"/>
    <col min="3" max="4" width="15.109375" style="196" bestFit="1" customWidth="1"/>
    <col min="5" max="5" width="10.44140625" style="196" bestFit="1" customWidth="1"/>
    <col min="6" max="6" width="15.33203125" style="196" customWidth="1"/>
    <col min="7" max="7" width="15.109375" style="196" bestFit="1" customWidth="1"/>
    <col min="8" max="8" width="10.44140625" style="196" bestFit="1" customWidth="1"/>
    <col min="9" max="16384" width="8.88671875" style="196"/>
  </cols>
  <sheetData>
    <row r="1" spans="1:8" x14ac:dyDescent="0.3">
      <c r="A1" s="453" t="s">
        <v>13</v>
      </c>
      <c r="B1" s="453"/>
      <c r="C1" s="453"/>
      <c r="D1" s="453"/>
      <c r="E1" s="453"/>
      <c r="F1" s="453"/>
      <c r="G1" s="453"/>
      <c r="H1" s="453"/>
    </row>
    <row r="2" spans="1:8" x14ac:dyDescent="0.3">
      <c r="A2" s="453" t="s">
        <v>209</v>
      </c>
      <c r="B2" s="453"/>
      <c r="C2" s="453"/>
      <c r="D2" s="453"/>
      <c r="E2" s="453"/>
      <c r="F2" s="453"/>
      <c r="G2" s="453"/>
      <c r="H2" s="453"/>
    </row>
    <row r="3" spans="1:8" x14ac:dyDescent="0.3">
      <c r="A3" s="454" t="s">
        <v>370</v>
      </c>
      <c r="B3" s="453"/>
      <c r="C3" s="453"/>
      <c r="D3" s="453"/>
      <c r="E3" s="453"/>
      <c r="F3" s="453"/>
      <c r="G3" s="453"/>
      <c r="H3" s="453"/>
    </row>
    <row r="4" spans="1:8" x14ac:dyDescent="0.3">
      <c r="A4" s="454" t="s">
        <v>371</v>
      </c>
      <c r="B4" s="453"/>
      <c r="C4" s="453"/>
      <c r="D4" s="453"/>
      <c r="E4" s="453"/>
      <c r="F4" s="453"/>
      <c r="G4" s="453"/>
      <c r="H4" s="453"/>
    </row>
    <row r="5" spans="1:8" ht="15" thickBot="1" x14ac:dyDescent="0.35">
      <c r="A5" s="264"/>
      <c r="B5" s="264"/>
      <c r="C5" s="264"/>
      <c r="D5" s="264"/>
      <c r="E5" s="264"/>
      <c r="F5" s="264"/>
      <c r="G5" s="264"/>
      <c r="H5" s="264"/>
    </row>
    <row r="6" spans="1:8" ht="15" thickBot="1" x14ac:dyDescent="0.35">
      <c r="A6" s="264"/>
      <c r="B6" s="264"/>
      <c r="C6" s="455" t="s">
        <v>210</v>
      </c>
      <c r="D6" s="456"/>
      <c r="E6" s="456"/>
      <c r="F6" s="456"/>
      <c r="G6" s="455" t="s">
        <v>211</v>
      </c>
      <c r="H6" s="457"/>
    </row>
    <row r="7" spans="1:8" ht="15" thickBot="1" x14ac:dyDescent="0.35">
      <c r="A7" s="264"/>
      <c r="B7" s="264"/>
      <c r="C7" s="265" t="s">
        <v>212</v>
      </c>
      <c r="D7" s="266" t="s">
        <v>213</v>
      </c>
      <c r="E7" s="266" t="s">
        <v>214</v>
      </c>
      <c r="F7" s="266" t="s">
        <v>215</v>
      </c>
      <c r="G7" s="451"/>
      <c r="H7" s="452"/>
    </row>
    <row r="8" spans="1:8" ht="67.2" thickBot="1" x14ac:dyDescent="0.35">
      <c r="A8" s="267" t="s">
        <v>0</v>
      </c>
      <c r="B8" s="267" t="s">
        <v>120</v>
      </c>
      <c r="C8" s="268" t="s">
        <v>216</v>
      </c>
      <c r="D8" s="269" t="s">
        <v>217</v>
      </c>
      <c r="E8" s="269" t="s">
        <v>218</v>
      </c>
      <c r="F8" s="269" t="s">
        <v>219</v>
      </c>
      <c r="G8" s="268" t="s">
        <v>220</v>
      </c>
      <c r="H8" s="270" t="s">
        <v>221</v>
      </c>
    </row>
    <row r="9" spans="1:8" x14ac:dyDescent="0.3">
      <c r="A9" s="265">
        <v>1</v>
      </c>
      <c r="B9" s="271">
        <v>7</v>
      </c>
      <c r="C9" s="272">
        <f>+G9</f>
        <v>11476152247.161776</v>
      </c>
      <c r="D9" s="273">
        <f>+C9</f>
        <v>11476152247.161776</v>
      </c>
      <c r="E9" s="273">
        <f>+H9</f>
        <v>2236474.2253660602</v>
      </c>
      <c r="F9" s="273">
        <f>+E9</f>
        <v>2236474.2253660602</v>
      </c>
      <c r="G9" s="272">
        <v>11476152247.161776</v>
      </c>
      <c r="H9" s="274">
        <v>2236474.2253660602</v>
      </c>
    </row>
    <row r="10" spans="1:8" x14ac:dyDescent="0.3">
      <c r="A10" s="275">
        <v>2</v>
      </c>
      <c r="B10" s="276" t="s">
        <v>98</v>
      </c>
      <c r="C10" s="272">
        <f t="shared" ref="C10:C20" si="0">+G10</f>
        <v>2915955626.4103169</v>
      </c>
      <c r="D10" s="273">
        <f t="shared" ref="D10:D18" si="1">+C10</f>
        <v>2915955626.4103169</v>
      </c>
      <c r="E10" s="273">
        <f t="shared" ref="E10:E20" si="2">+H10</f>
        <v>515625.82524854271</v>
      </c>
      <c r="F10" s="273">
        <f t="shared" ref="F10:F20" si="3">+E10</f>
        <v>515625.82524854271</v>
      </c>
      <c r="G10" s="272">
        <v>2915955626.4103169</v>
      </c>
      <c r="H10" s="274">
        <v>515625.82524854271</v>
      </c>
    </row>
    <row r="11" spans="1:8" x14ac:dyDescent="0.3">
      <c r="A11" s="275">
        <v>3</v>
      </c>
      <c r="B11" s="276" t="s">
        <v>372</v>
      </c>
      <c r="C11" s="272">
        <f t="shared" si="0"/>
        <v>3242765959.9604325</v>
      </c>
      <c r="D11" s="273">
        <f t="shared" si="1"/>
        <v>3242765959.9604325</v>
      </c>
      <c r="E11" s="273">
        <f t="shared" si="2"/>
        <v>551893.91878041346</v>
      </c>
      <c r="F11" s="273">
        <f t="shared" si="3"/>
        <v>551893.91878041346</v>
      </c>
      <c r="G11" s="272">
        <v>3242765959.9604325</v>
      </c>
      <c r="H11" s="274">
        <v>551893.91878041346</v>
      </c>
    </row>
    <row r="12" spans="1:8" x14ac:dyDescent="0.3">
      <c r="A12" s="275">
        <v>4</v>
      </c>
      <c r="B12" s="276" t="s">
        <v>373</v>
      </c>
      <c r="C12" s="272">
        <f t="shared" si="0"/>
        <v>2092770306.5275679</v>
      </c>
      <c r="D12" s="273">
        <f t="shared" si="1"/>
        <v>2092770306.5275679</v>
      </c>
      <c r="E12" s="273">
        <f t="shared" si="2"/>
        <v>289974.91765494185</v>
      </c>
      <c r="F12" s="273">
        <f t="shared" si="3"/>
        <v>289974.91765494185</v>
      </c>
      <c r="G12" s="272">
        <v>2092770306.5275679</v>
      </c>
      <c r="H12" s="274">
        <v>289974.91765494185</v>
      </c>
    </row>
    <row r="13" spans="1:8" x14ac:dyDescent="0.3">
      <c r="A13" s="275">
        <v>5</v>
      </c>
      <c r="B13" s="277" t="s">
        <v>100</v>
      </c>
      <c r="C13" s="272">
        <f t="shared" si="0"/>
        <v>1456029850.0547175</v>
      </c>
      <c r="D13" s="273">
        <f t="shared" si="1"/>
        <v>1456029850.0547175</v>
      </c>
      <c r="E13" s="273">
        <f t="shared" si="2"/>
        <v>204844.84270926949</v>
      </c>
      <c r="F13" s="273">
        <f t="shared" si="3"/>
        <v>204844.84270926949</v>
      </c>
      <c r="G13" s="272">
        <v>1456029850.0547175</v>
      </c>
      <c r="H13" s="274">
        <v>204844.84270926949</v>
      </c>
    </row>
    <row r="14" spans="1:8" x14ac:dyDescent="0.3">
      <c r="A14" s="275">
        <v>6</v>
      </c>
      <c r="B14" s="276">
        <v>35</v>
      </c>
      <c r="C14" s="272">
        <f t="shared" si="0"/>
        <v>4597572.0317007378</v>
      </c>
      <c r="D14" s="273">
        <f t="shared" si="1"/>
        <v>4597572.0317007378</v>
      </c>
      <c r="E14" s="273">
        <f t="shared" si="2"/>
        <v>7.0004300675974864</v>
      </c>
      <c r="F14" s="273">
        <f t="shared" si="3"/>
        <v>7.0004300675974864</v>
      </c>
      <c r="G14" s="272">
        <v>4597572.0317007378</v>
      </c>
      <c r="H14" s="274">
        <v>7.0004300675974864</v>
      </c>
    </row>
    <row r="15" spans="1:8" x14ac:dyDescent="0.3">
      <c r="A15" s="275">
        <v>7</v>
      </c>
      <c r="B15" s="276">
        <v>43</v>
      </c>
      <c r="C15" s="272">
        <f t="shared" si="0"/>
        <v>126890757.18193617</v>
      </c>
      <c r="D15" s="273">
        <f t="shared" si="1"/>
        <v>126890757.18193617</v>
      </c>
      <c r="E15" s="273">
        <v>0</v>
      </c>
      <c r="F15" s="273">
        <f t="shared" si="3"/>
        <v>0</v>
      </c>
      <c r="G15" s="272">
        <v>126890757.18193617</v>
      </c>
      <c r="H15" s="274">
        <v>43420.982870153392</v>
      </c>
    </row>
    <row r="16" spans="1:8" x14ac:dyDescent="0.3">
      <c r="A16" s="275">
        <v>8</v>
      </c>
      <c r="B16" s="276" t="s">
        <v>347</v>
      </c>
      <c r="C16" s="272">
        <f t="shared" si="0"/>
        <v>350081232.79927498</v>
      </c>
      <c r="D16" s="273">
        <v>0</v>
      </c>
      <c r="E16" s="273">
        <f t="shared" si="2"/>
        <v>52796.147183246518</v>
      </c>
      <c r="F16" s="273">
        <v>0</v>
      </c>
      <c r="G16" s="272">
        <v>350081232.79927498</v>
      </c>
      <c r="H16" s="274">
        <v>52796.147183246518</v>
      </c>
    </row>
    <row r="17" spans="1:8" x14ac:dyDescent="0.3">
      <c r="A17" s="275">
        <v>9</v>
      </c>
      <c r="B17" s="277" t="s">
        <v>374</v>
      </c>
      <c r="C17" s="272">
        <f t="shared" si="0"/>
        <v>630228919.26662493</v>
      </c>
      <c r="D17" s="273">
        <f t="shared" si="1"/>
        <v>630228919.26662493</v>
      </c>
      <c r="E17" s="273">
        <v>69577.130407689765</v>
      </c>
      <c r="F17" s="273">
        <f t="shared" si="3"/>
        <v>69577.130407689765</v>
      </c>
      <c r="G17" s="272">
        <v>630228919.26662493</v>
      </c>
      <c r="H17" s="274">
        <v>79474.453702294297</v>
      </c>
    </row>
    <row r="18" spans="1:8" x14ac:dyDescent="0.3">
      <c r="A18" s="275">
        <v>10</v>
      </c>
      <c r="B18" s="277" t="s">
        <v>375</v>
      </c>
      <c r="C18" s="272">
        <f t="shared" si="0"/>
        <v>75887375.026475519</v>
      </c>
      <c r="D18" s="273">
        <f t="shared" si="1"/>
        <v>75887375.026475519</v>
      </c>
      <c r="E18" s="273">
        <f t="shared" si="2"/>
        <v>8059.2720272472116</v>
      </c>
      <c r="F18" s="273">
        <f t="shared" si="3"/>
        <v>8059.2720272472116</v>
      </c>
      <c r="G18" s="272">
        <v>75887375.026475519</v>
      </c>
      <c r="H18" s="274">
        <v>8059.2720272472116</v>
      </c>
    </row>
    <row r="19" spans="1:8" x14ac:dyDescent="0.3">
      <c r="A19" s="275">
        <v>11</v>
      </c>
      <c r="B19" s="277" t="s">
        <v>376</v>
      </c>
      <c r="C19" s="272">
        <f t="shared" si="0"/>
        <v>2066150549.7926297</v>
      </c>
      <c r="D19" s="273">
        <v>0</v>
      </c>
      <c r="E19" s="273">
        <f t="shared" si="2"/>
        <v>251839.84707747737</v>
      </c>
      <c r="F19" s="273">
        <v>0</v>
      </c>
      <c r="G19" s="272">
        <v>2066150549.7926297</v>
      </c>
      <c r="H19" s="274">
        <v>251839.84707747737</v>
      </c>
    </row>
    <row r="20" spans="1:8" x14ac:dyDescent="0.3">
      <c r="A20" s="275">
        <v>14</v>
      </c>
      <c r="B20" s="276" t="s">
        <v>222</v>
      </c>
      <c r="C20" s="272">
        <f t="shared" si="0"/>
        <v>7427003.1359829875</v>
      </c>
      <c r="D20" s="273">
        <f t="shared" ref="D20" si="4">+C20</f>
        <v>7427003.1359829875</v>
      </c>
      <c r="E20" s="273">
        <f t="shared" si="2"/>
        <v>1428.4140277629981</v>
      </c>
      <c r="F20" s="273">
        <f t="shared" si="3"/>
        <v>1428.4140277629981</v>
      </c>
      <c r="G20" s="272">
        <v>7427003.1359829875</v>
      </c>
      <c r="H20" s="274">
        <v>1428.4140277629981</v>
      </c>
    </row>
    <row r="21" spans="1:8" x14ac:dyDescent="0.3">
      <c r="A21" s="275">
        <v>15</v>
      </c>
      <c r="B21" s="278"/>
      <c r="C21" s="272"/>
      <c r="D21" s="273"/>
      <c r="E21" s="273"/>
      <c r="F21" s="273"/>
      <c r="G21" s="272"/>
      <c r="H21" s="274"/>
    </row>
    <row r="22" spans="1:8" x14ac:dyDescent="0.3">
      <c r="A22" s="275">
        <v>16</v>
      </c>
      <c r="B22" s="278" t="s">
        <v>12</v>
      </c>
      <c r="C22" s="272">
        <f>SUM(C9:C20)</f>
        <v>24444937399.34943</v>
      </c>
      <c r="D22" s="273">
        <f>SUM(D9:D21)</f>
        <v>22028705616.757526</v>
      </c>
      <c r="E22" s="273">
        <f t="shared" ref="E22:H22" si="5">SUM(E9:E20)</f>
        <v>4182521.5409127185</v>
      </c>
      <c r="F22" s="273">
        <f>SUM(F9:F20)</f>
        <v>3877885.5466519948</v>
      </c>
      <c r="G22" s="272">
        <f t="shared" si="5"/>
        <v>24444937399.34943</v>
      </c>
      <c r="H22" s="274">
        <f t="shared" si="5"/>
        <v>4235839.8470774768</v>
      </c>
    </row>
    <row r="23" spans="1:8" x14ac:dyDescent="0.3">
      <c r="A23" s="275">
        <v>17</v>
      </c>
      <c r="B23" s="278" t="s">
        <v>223</v>
      </c>
      <c r="C23" s="272">
        <v>24444937399.34943</v>
      </c>
      <c r="D23" s="273">
        <v>22028705616.757526</v>
      </c>
      <c r="E23" s="273">
        <v>4182521.5409127185</v>
      </c>
      <c r="F23" s="273">
        <v>3877885.5466519948</v>
      </c>
      <c r="G23" s="272">
        <v>24444937399.34943</v>
      </c>
      <c r="H23" s="274">
        <v>4235839.8470774768</v>
      </c>
    </row>
    <row r="24" spans="1:8" x14ac:dyDescent="0.3">
      <c r="A24" s="275">
        <v>18</v>
      </c>
      <c r="B24" s="278" t="s">
        <v>223</v>
      </c>
      <c r="C24" s="272">
        <f>+C22-C23</f>
        <v>0</v>
      </c>
      <c r="D24" s="273">
        <f>+D22-D23</f>
        <v>0</v>
      </c>
      <c r="E24" s="273">
        <f t="shared" ref="E24:H24" si="6">+E22-E23</f>
        <v>0</v>
      </c>
      <c r="F24" s="273">
        <f t="shared" si="6"/>
        <v>0</v>
      </c>
      <c r="G24" s="272">
        <f t="shared" si="6"/>
        <v>0</v>
      </c>
      <c r="H24" s="274">
        <f t="shared" si="6"/>
        <v>0</v>
      </c>
    </row>
    <row r="25" spans="1:8" ht="15" thickBot="1" x14ac:dyDescent="0.35">
      <c r="A25" s="279"/>
      <c r="B25" s="280"/>
      <c r="C25" s="281"/>
      <c r="D25" s="282"/>
      <c r="E25" s="282"/>
      <c r="F25" s="282"/>
      <c r="G25" s="281"/>
      <c r="H25" s="283"/>
    </row>
    <row r="26" spans="1:8" x14ac:dyDescent="0.3">
      <c r="A26" s="264"/>
      <c r="B26" s="264"/>
      <c r="C26" s="264"/>
      <c r="D26" s="264"/>
      <c r="E26" s="264"/>
      <c r="F26" s="264"/>
      <c r="G26" s="264"/>
      <c r="H26" s="264"/>
    </row>
    <row r="28" spans="1:8" x14ac:dyDescent="0.3">
      <c r="C28" s="263"/>
      <c r="D28" s="263"/>
      <c r="E28" s="263"/>
      <c r="F28" s="263"/>
      <c r="G28" s="263"/>
      <c r="H28" s="263"/>
    </row>
  </sheetData>
  <mergeCells count="7">
    <mergeCell ref="G7:H7"/>
    <mergeCell ref="A1:H1"/>
    <mergeCell ref="A2:H2"/>
    <mergeCell ref="A3:H3"/>
    <mergeCell ref="A4:H4"/>
    <mergeCell ref="C6:F6"/>
    <mergeCell ref="G6:H6"/>
  </mergeCells>
  <printOptions horizontalCentered="1"/>
  <pageMargins left="0.25" right="0.25" top="0.75" bottom="0.75" header="0.3" footer="0.3"/>
  <pageSetup orientation="landscape" r:id="rId1"/>
  <headerFooter>
    <oddFooter>&amp;L&amp;"Times New Roman,Regular"&amp;F
&amp;A&amp;R&amp;"Times New Roman,Regular"Page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1A7A5A01EAAB84FA964CF36A8C722A1" ma:contentTypeVersion="44" ma:contentTypeDescription="" ma:contentTypeScope="" ma:versionID="4302ebf7d561f540badad75cad6e1d1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2021-10-29T07:00:00+00:00</OpenedDate>
    <SignificantOrder xmlns="dc463f71-b30c-4ab2-9473-d307f9d35888">false</SignificantOrder>
    <Date1 xmlns="dc463f71-b30c-4ab2-9473-d307f9d35888">2021-10-29T07:00:00+00:00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210821</DocketNumber>
    <DelegatedOrder xmlns="dc463f71-b30c-4ab2-9473-d307f9d35888">false</DelegatedOrder>
  </documentManagement>
</p:properties>
</file>

<file path=customXml/itemProps1.xml><?xml version="1.0" encoding="utf-8"?>
<ds:datastoreItem xmlns:ds="http://schemas.openxmlformats.org/officeDocument/2006/customXml" ds:itemID="{CE337FDC-3292-43BA-A255-D1F90B79A046}"/>
</file>

<file path=customXml/itemProps2.xml><?xml version="1.0" encoding="utf-8"?>
<ds:datastoreItem xmlns:ds="http://schemas.openxmlformats.org/officeDocument/2006/customXml" ds:itemID="{1EFAA4C0-F188-4196-A3BA-F1E60C0BF287}"/>
</file>

<file path=customXml/itemProps3.xml><?xml version="1.0" encoding="utf-8"?>
<ds:datastoreItem xmlns:ds="http://schemas.openxmlformats.org/officeDocument/2006/customXml" ds:itemID="{C0652952-8521-4752-B6ED-91A45559DB56}"/>
</file>

<file path=customXml/itemProps4.xml><?xml version="1.0" encoding="utf-8"?>
<ds:datastoreItem xmlns:ds="http://schemas.openxmlformats.org/officeDocument/2006/customXml" ds:itemID="{F9218B86-4879-46C5-90D0-5488B286FF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Lead Sheet</vt:lpstr>
      <vt:lpstr>Rate Impacts</vt:lpstr>
      <vt:lpstr>Peak Credit Spread</vt:lpstr>
      <vt:lpstr>Estimated Proforma Net Revenue</vt:lpstr>
      <vt:lpstr>Street &amp; Area Lighting</vt:lpstr>
      <vt:lpstr>Typical Residential Notice</vt:lpstr>
      <vt:lpstr>Rev Req 2022</vt:lpstr>
      <vt:lpstr>Sch 95A Eff 1-1-21</vt:lpstr>
      <vt:lpstr>UE-190529 LR Data Summary</vt:lpstr>
      <vt:lpstr>UE-190529 LR Data - Dem 4CP</vt:lpstr>
      <vt:lpstr>UE-190529 LR Data - Energy</vt:lpstr>
      <vt:lpstr>'Estimated Proforma Net Revenue'!Print_Area</vt:lpstr>
      <vt:lpstr>'Lead Sheet'!Print_Area</vt:lpstr>
      <vt:lpstr>'Peak Credit Spread'!Print_Area</vt:lpstr>
      <vt:lpstr>'Rate Impacts'!Print_Area</vt:lpstr>
      <vt:lpstr>'Sch 95A Eff 1-1-21'!Print_Area</vt:lpstr>
      <vt:lpstr>'Street &amp; Area Lighting'!Print_Area</vt:lpstr>
      <vt:lpstr>'Typical Residential Notice'!Print_Area</vt:lpstr>
      <vt:lpstr>'UE-190529 LR Data Summary'!Print_Area</vt:lpstr>
      <vt:lpstr>'Street &amp; Area Lighting'!Print_Titles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Regan, Jared</cp:lastModifiedBy>
  <cp:lastPrinted>2019-10-28T17:03:02Z</cp:lastPrinted>
  <dcterms:created xsi:type="dcterms:W3CDTF">2006-05-11T20:49:14Z</dcterms:created>
  <dcterms:modified xsi:type="dcterms:W3CDTF">2021-10-28T20:37:46Z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0x0101006E56B4D1795A2E4DB2F0B01679ED314A00A1A7A5A01EAAB84FA964CF36A8C722A1</vt:lpwstr>
  </property>
  <property fmtid="{D5CDD505-2E9C-101B-9397-08002B2CF9AE}" pid="3" name="_docset_NoMedatataSyncRequired">
    <vt:lpwstr>False</vt:lpwstr>
  </property>
  <property fmtid="{D5CDD505-2E9C-101B-9397-08002B2CF9AE}" pid="4" name="IsEFSEC">
    <vt:bool>false</vt:bool>
  </property>
</Properties>
</file>