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Ellensburg\2021 Disposal Fee Increase\"/>
    </mc:Choice>
  </mc:AlternateContent>
  <xr:revisionPtr revIDLastSave="0" documentId="13_ncr:1_{4BB0C01A-90C8-44B8-AAAD-89157811FE95}" xr6:coauthVersionLast="46" xr6:coauthVersionMax="46" xr10:uidLastSave="{00000000-0000-0000-0000-000000000000}"/>
  <bookViews>
    <workbookView xWindow="31800" yWindow="2520" windowWidth="19185" windowHeight="10770" xr2:uid="{00000000-000D-0000-FFFF-FFFF00000000}"/>
  </bookViews>
  <sheets>
    <sheet name="References" sheetId="4" r:id="rId1"/>
    <sheet name="Calc. per Staff format" sheetId="7" r:id="rId2"/>
  </sheets>
  <definedNames>
    <definedName name="_xlnm.Print_Area" localSheetId="1">'Calc. per Staff format'!$A$2:$Q$81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8" i="7" l="1"/>
  <c r="T57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25" i="7"/>
  <c r="T55" i="7"/>
  <c r="T56" i="7"/>
  <c r="T53" i="7"/>
  <c r="T54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23" i="7"/>
  <c r="N18" i="7"/>
  <c r="N17" i="7"/>
  <c r="T17" i="7"/>
  <c r="N15" i="7"/>
  <c r="T15" i="7"/>
  <c r="N13" i="7"/>
  <c r="T13" i="7"/>
  <c r="F4" i="7"/>
  <c r="G4" i="7"/>
  <c r="H4" i="7"/>
  <c r="O4" i="7"/>
  <c r="G11" i="7"/>
  <c r="O11" i="7"/>
  <c r="L18" i="7"/>
  <c r="L17" i="7"/>
  <c r="L15" i="7"/>
  <c r="G58" i="7"/>
  <c r="G57" i="7"/>
  <c r="F57" i="7"/>
  <c r="F58" i="7"/>
  <c r="O58" i="7" s="1"/>
  <c r="H57" i="7" l="1"/>
  <c r="H58" i="7"/>
  <c r="O57" i="7"/>
  <c r="G48" i="4"/>
  <c r="B58" i="4" l="1"/>
  <c r="G59" i="7" l="1"/>
  <c r="G53" i="7"/>
  <c r="G49" i="7"/>
  <c r="G50" i="7" s="1"/>
  <c r="G51" i="7" s="1"/>
  <c r="G52" i="7" s="1"/>
  <c r="G44" i="7"/>
  <c r="G37" i="7"/>
  <c r="G38" i="7" s="1"/>
  <c r="G32" i="7"/>
  <c r="G33" i="7" s="1"/>
  <c r="G29" i="7"/>
  <c r="G26" i="7"/>
  <c r="G27" i="7" s="1"/>
  <c r="F25" i="7"/>
  <c r="F26" i="7"/>
  <c r="F27" i="7"/>
  <c r="F29" i="7"/>
  <c r="F32" i="7"/>
  <c r="F37" i="7"/>
  <c r="F44" i="7"/>
  <c r="F53" i="7"/>
  <c r="F59" i="7"/>
  <c r="E30" i="7"/>
  <c r="E33" i="7" s="1"/>
  <c r="E38" i="7" s="1"/>
  <c r="E45" i="7" s="1"/>
  <c r="E54" i="7" s="1"/>
  <c r="F54" i="7" s="1"/>
  <c r="E22" i="7"/>
  <c r="E23" i="7" s="1"/>
  <c r="F21" i="7"/>
  <c r="O19" i="7"/>
  <c r="F19" i="7"/>
  <c r="O6" i="7"/>
  <c r="O7" i="7"/>
  <c r="O8" i="7"/>
  <c r="O9" i="7"/>
  <c r="O10" i="7"/>
  <c r="O12" i="7"/>
  <c r="O14" i="7"/>
  <c r="O16" i="7"/>
  <c r="O5" i="7"/>
  <c r="O3" i="7"/>
  <c r="O18" i="7"/>
  <c r="O15" i="7"/>
  <c r="O13" i="7"/>
  <c r="O53" i="7" l="1"/>
  <c r="O37" i="7"/>
  <c r="O21" i="7"/>
  <c r="O29" i="7"/>
  <c r="O44" i="7"/>
  <c r="O59" i="7"/>
  <c r="O32" i="7"/>
  <c r="H25" i="7"/>
  <c r="O25" i="7"/>
  <c r="H59" i="7"/>
  <c r="H44" i="7"/>
  <c r="H29" i="7"/>
  <c r="H53" i="7"/>
  <c r="O54" i="7"/>
  <c r="H37" i="7"/>
  <c r="G30" i="7"/>
  <c r="G31" i="7" s="1"/>
  <c r="G54" i="7"/>
  <c r="G55" i="7" s="1"/>
  <c r="G56" i="7" s="1"/>
  <c r="H27" i="7"/>
  <c r="G28" i="7"/>
  <c r="G34" i="7"/>
  <c r="G39" i="7"/>
  <c r="G40" i="7" s="1"/>
  <c r="G41" i="7" s="1"/>
  <c r="G42" i="7" s="1"/>
  <c r="G43" i="7" s="1"/>
  <c r="H32" i="7"/>
  <c r="G45" i="7"/>
  <c r="H26" i="7"/>
  <c r="O27" i="7"/>
  <c r="O26" i="7"/>
  <c r="E24" i="7"/>
  <c r="E28" i="7" s="1"/>
  <c r="E31" i="7" s="1"/>
  <c r="E34" i="7" s="1"/>
  <c r="F34" i="7" s="1"/>
  <c r="F23" i="7"/>
  <c r="F38" i="7"/>
  <c r="F30" i="7"/>
  <c r="F45" i="7"/>
  <c r="F33" i="7"/>
  <c r="F22" i="7"/>
  <c r="D77" i="7"/>
  <c r="O17" i="7"/>
  <c r="O38" i="7" l="1"/>
  <c r="O33" i="7"/>
  <c r="O45" i="7"/>
  <c r="O30" i="7"/>
  <c r="F24" i="7"/>
  <c r="D68" i="7"/>
  <c r="D81" i="7"/>
  <c r="F31" i="7"/>
  <c r="F28" i="7"/>
  <c r="H38" i="7"/>
  <c r="H33" i="7"/>
  <c r="E36" i="7"/>
  <c r="F36" i="7" s="1"/>
  <c r="E35" i="7"/>
  <c r="H54" i="7"/>
  <c r="H30" i="7"/>
  <c r="H45" i="7"/>
  <c r="G46" i="7"/>
  <c r="G47" i="7" s="1"/>
  <c r="G48" i="7" s="1"/>
  <c r="G35" i="7"/>
  <c r="G36" i="7" s="1"/>
  <c r="H34" i="7"/>
  <c r="O34" i="7"/>
  <c r="O28" i="7" l="1"/>
  <c r="O31" i="7"/>
  <c r="O36" i="7"/>
  <c r="H31" i="7"/>
  <c r="H28" i="7"/>
  <c r="E39" i="7"/>
  <c r="F35" i="7"/>
  <c r="H36" i="7"/>
  <c r="O35" i="7" l="1"/>
  <c r="H35" i="7"/>
  <c r="E40" i="7"/>
  <c r="F39" i="7"/>
  <c r="O39" i="7" l="1"/>
  <c r="H39" i="7"/>
  <c r="E41" i="7"/>
  <c r="F40" i="7"/>
  <c r="H40" i="7" l="1"/>
  <c r="O40" i="7"/>
  <c r="E42" i="7"/>
  <c r="F41" i="7"/>
  <c r="G22" i="7"/>
  <c r="G21" i="7"/>
  <c r="G24" i="7"/>
  <c r="G23" i="7"/>
  <c r="G17" i="7"/>
  <c r="G18" i="7" s="1"/>
  <c r="G16" i="7"/>
  <c r="G15" i="7"/>
  <c r="G14" i="7"/>
  <c r="G13" i="7"/>
  <c r="G12" i="7"/>
  <c r="G9" i="7"/>
  <c r="G10" i="7"/>
  <c r="G8" i="7"/>
  <c r="G7" i="7"/>
  <c r="G19" i="7" s="1"/>
  <c r="H19" i="7" s="1"/>
  <c r="G6" i="7"/>
  <c r="G5" i="7"/>
  <c r="G3" i="7"/>
  <c r="H41" i="7" l="1"/>
  <c r="O41" i="7"/>
  <c r="E43" i="7"/>
  <c r="F42" i="7"/>
  <c r="H21" i="7"/>
  <c r="H22" i="7"/>
  <c r="D60" i="7"/>
  <c r="D69" i="7"/>
  <c r="H42" i="7" l="1"/>
  <c r="O42" i="7"/>
  <c r="E46" i="7"/>
  <c r="F43" i="7"/>
  <c r="D20" i="7"/>
  <c r="D61" i="7" s="1"/>
  <c r="E47" i="7" l="1"/>
  <c r="F46" i="7"/>
  <c r="O43" i="7"/>
  <c r="H43" i="7"/>
  <c r="H23" i="7"/>
  <c r="O23" i="7"/>
  <c r="H24" i="7"/>
  <c r="O24" i="7"/>
  <c r="O46" i="7" l="1"/>
  <c r="H46" i="7"/>
  <c r="E48" i="7"/>
  <c r="E49" i="7"/>
  <c r="F47" i="7"/>
  <c r="O22" i="7"/>
  <c r="B54" i="4"/>
  <c r="E50" i="7" l="1"/>
  <c r="F48" i="7"/>
  <c r="H47" i="7"/>
  <c r="O47" i="7"/>
  <c r="F49" i="7"/>
  <c r="E51" i="7"/>
  <c r="F51" i="7" l="1"/>
  <c r="E52" i="7"/>
  <c r="O48" i="7"/>
  <c r="H48" i="7"/>
  <c r="H49" i="7"/>
  <c r="O49" i="7"/>
  <c r="F50" i="7"/>
  <c r="E56" i="7"/>
  <c r="F56" i="7" s="1"/>
  <c r="B3" i="4"/>
  <c r="B4" i="4"/>
  <c r="B5" i="4"/>
  <c r="B6" i="4"/>
  <c r="E55" i="7" l="1"/>
  <c r="F55" i="7" s="1"/>
  <c r="F52" i="7"/>
  <c r="O56" i="7"/>
  <c r="H56" i="7"/>
  <c r="O51" i="7"/>
  <c r="H51" i="7"/>
  <c r="O50" i="7"/>
  <c r="H50" i="7"/>
  <c r="E13" i="7"/>
  <c r="E17" i="7"/>
  <c r="E15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52" i="7" l="1"/>
  <c r="O52" i="7"/>
  <c r="F60" i="7"/>
  <c r="O55" i="7"/>
  <c r="H55" i="7"/>
  <c r="G6" i="4"/>
  <c r="F6" i="4"/>
  <c r="E6" i="4"/>
  <c r="D6" i="4"/>
  <c r="O60" i="7" l="1"/>
  <c r="B49" i="4"/>
  <c r="C48" i="4"/>
  <c r="C47" i="4"/>
  <c r="B9" i="4"/>
  <c r="B8" i="4"/>
  <c r="B7" i="4"/>
  <c r="B52" i="4" l="1"/>
  <c r="B59" i="4"/>
  <c r="G50" i="4"/>
  <c r="G52" i="4" s="1"/>
  <c r="E7" i="7"/>
  <c r="F7" i="7" s="1"/>
  <c r="H7" i="7" s="1"/>
  <c r="E12" i="7"/>
  <c r="F12" i="7" s="1"/>
  <c r="H12" i="7" s="1"/>
  <c r="E16" i="7"/>
  <c r="E18" i="7" s="1"/>
  <c r="F18" i="7" s="1"/>
  <c r="H18" i="7" s="1"/>
  <c r="E8" i="7"/>
  <c r="E5" i="7"/>
  <c r="F5" i="7" s="1"/>
  <c r="H5" i="7" s="1"/>
  <c r="E9" i="7"/>
  <c r="E14" i="7"/>
  <c r="F14" i="7" s="1"/>
  <c r="H14" i="7" s="1"/>
  <c r="E6" i="7"/>
  <c r="E10" i="7"/>
  <c r="E3" i="7"/>
  <c r="F3" i="7" s="1"/>
  <c r="H3" i="7" s="1"/>
  <c r="F13" i="7"/>
  <c r="H13" i="7" s="1"/>
  <c r="F15" i="7"/>
  <c r="H15" i="7" s="1"/>
  <c r="F17" i="7"/>
  <c r="H17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0" i="7" l="1"/>
  <c r="H10" i="7" s="1"/>
  <c r="E11" i="7"/>
  <c r="F11" i="7" s="1"/>
  <c r="H11" i="7" s="1"/>
  <c r="F16" i="7"/>
  <c r="H16" i="7" s="1"/>
  <c r="F8" i="7"/>
  <c r="H8" i="7" s="1"/>
  <c r="F9" i="7"/>
  <c r="H9" i="7" s="1"/>
  <c r="F6" i="7"/>
  <c r="H6" i="7" s="1"/>
  <c r="O20" i="7"/>
  <c r="O61" i="7" s="1"/>
  <c r="B53" i="4"/>
  <c r="B55" i="4" s="1"/>
  <c r="B61" i="4" s="1"/>
  <c r="F20" i="7" l="1"/>
  <c r="H20" i="7"/>
  <c r="F61" i="7" l="1"/>
  <c r="D70" i="7"/>
  <c r="H60" i="7"/>
  <c r="H61" i="7" s="1"/>
  <c r="D71" i="7" s="1"/>
  <c r="I11" i="7" l="1"/>
  <c r="J11" i="7" s="1"/>
  <c r="K11" i="7" s="1"/>
  <c r="M11" i="7" s="1"/>
  <c r="N11" i="7" s="1"/>
  <c r="P11" i="7" s="1"/>
  <c r="Q11" i="7" s="1"/>
  <c r="I4" i="7"/>
  <c r="J4" i="7" s="1"/>
  <c r="K4" i="7" s="1"/>
  <c r="M4" i="7" s="1"/>
  <c r="N4" i="7" s="1"/>
  <c r="R11" i="7"/>
  <c r="I58" i="7"/>
  <c r="J58" i="7" s="1"/>
  <c r="K58" i="7" s="1"/>
  <c r="M58" i="7" s="1"/>
  <c r="N58" i="7" s="1"/>
  <c r="R58" i="7" s="1"/>
  <c r="I57" i="7"/>
  <c r="J57" i="7" s="1"/>
  <c r="K57" i="7" s="1"/>
  <c r="M57" i="7" s="1"/>
  <c r="N57" i="7" s="1"/>
  <c r="R57" i="7" s="1"/>
  <c r="I28" i="7"/>
  <c r="J28" i="7" s="1"/>
  <c r="K28" i="7" s="1"/>
  <c r="M28" i="7" s="1"/>
  <c r="N28" i="7" s="1"/>
  <c r="R28" i="7" s="1"/>
  <c r="I32" i="7"/>
  <c r="J32" i="7" s="1"/>
  <c r="K32" i="7" s="1"/>
  <c r="M32" i="7" s="1"/>
  <c r="N32" i="7" s="1"/>
  <c r="R32" i="7" s="1"/>
  <c r="I36" i="7"/>
  <c r="J36" i="7" s="1"/>
  <c r="K36" i="7" s="1"/>
  <c r="M36" i="7" s="1"/>
  <c r="N36" i="7" s="1"/>
  <c r="R36" i="7" s="1"/>
  <c r="I40" i="7"/>
  <c r="J40" i="7" s="1"/>
  <c r="K40" i="7" s="1"/>
  <c r="M40" i="7" s="1"/>
  <c r="N40" i="7" s="1"/>
  <c r="R40" i="7" s="1"/>
  <c r="I48" i="7"/>
  <c r="J48" i="7" s="1"/>
  <c r="K48" i="7" s="1"/>
  <c r="M48" i="7" s="1"/>
  <c r="N48" i="7" s="1"/>
  <c r="R48" i="7" s="1"/>
  <c r="I56" i="7"/>
  <c r="J56" i="7" s="1"/>
  <c r="K56" i="7" s="1"/>
  <c r="M56" i="7" s="1"/>
  <c r="N56" i="7" s="1"/>
  <c r="R56" i="7" s="1"/>
  <c r="I29" i="7"/>
  <c r="J29" i="7" s="1"/>
  <c r="K29" i="7" s="1"/>
  <c r="M29" i="7" s="1"/>
  <c r="N29" i="7" s="1"/>
  <c r="R29" i="7" s="1"/>
  <c r="I33" i="7"/>
  <c r="J33" i="7" s="1"/>
  <c r="K33" i="7" s="1"/>
  <c r="M33" i="7" s="1"/>
  <c r="N33" i="7" s="1"/>
  <c r="R33" i="7" s="1"/>
  <c r="I49" i="7"/>
  <c r="J49" i="7" s="1"/>
  <c r="K49" i="7" s="1"/>
  <c r="M49" i="7" s="1"/>
  <c r="N49" i="7" s="1"/>
  <c r="R49" i="7" s="1"/>
  <c r="I26" i="7"/>
  <c r="J26" i="7" s="1"/>
  <c r="K26" i="7" s="1"/>
  <c r="M26" i="7" s="1"/>
  <c r="N26" i="7" s="1"/>
  <c r="R26" i="7" s="1"/>
  <c r="I27" i="7"/>
  <c r="J27" i="7" s="1"/>
  <c r="K27" i="7" s="1"/>
  <c r="M27" i="7" s="1"/>
  <c r="N27" i="7" s="1"/>
  <c r="R27" i="7" s="1"/>
  <c r="I31" i="7"/>
  <c r="J31" i="7" s="1"/>
  <c r="K31" i="7" s="1"/>
  <c r="M31" i="7" s="1"/>
  <c r="N31" i="7" s="1"/>
  <c r="R31" i="7" s="1"/>
  <c r="I35" i="7"/>
  <c r="J35" i="7" s="1"/>
  <c r="K35" i="7" s="1"/>
  <c r="M35" i="7" s="1"/>
  <c r="N35" i="7" s="1"/>
  <c r="R35" i="7" s="1"/>
  <c r="I39" i="7"/>
  <c r="J39" i="7" s="1"/>
  <c r="K39" i="7" s="1"/>
  <c r="M39" i="7" s="1"/>
  <c r="N39" i="7" s="1"/>
  <c r="R39" i="7" s="1"/>
  <c r="I43" i="7"/>
  <c r="J43" i="7" s="1"/>
  <c r="K43" i="7" s="1"/>
  <c r="M43" i="7" s="1"/>
  <c r="N43" i="7" s="1"/>
  <c r="R43" i="7" s="1"/>
  <c r="I47" i="7"/>
  <c r="J47" i="7" s="1"/>
  <c r="K47" i="7" s="1"/>
  <c r="M47" i="7" s="1"/>
  <c r="N47" i="7" s="1"/>
  <c r="R47" i="7" s="1"/>
  <c r="I51" i="7"/>
  <c r="J51" i="7" s="1"/>
  <c r="K51" i="7" s="1"/>
  <c r="M51" i="7" s="1"/>
  <c r="N51" i="7" s="1"/>
  <c r="R51" i="7" s="1"/>
  <c r="I55" i="7"/>
  <c r="J55" i="7" s="1"/>
  <c r="K55" i="7" s="1"/>
  <c r="M55" i="7" s="1"/>
  <c r="N55" i="7" s="1"/>
  <c r="R55" i="7" s="1"/>
  <c r="I44" i="7"/>
  <c r="J44" i="7" s="1"/>
  <c r="K44" i="7" s="1"/>
  <c r="M44" i="7" s="1"/>
  <c r="N44" i="7" s="1"/>
  <c r="R44" i="7" s="1"/>
  <c r="I52" i="7"/>
  <c r="J52" i="7" s="1"/>
  <c r="K52" i="7" s="1"/>
  <c r="M52" i="7" s="1"/>
  <c r="N52" i="7" s="1"/>
  <c r="R52" i="7" s="1"/>
  <c r="I25" i="7"/>
  <c r="J25" i="7" s="1"/>
  <c r="K25" i="7" s="1"/>
  <c r="M25" i="7" s="1"/>
  <c r="N25" i="7" s="1"/>
  <c r="R25" i="7" s="1"/>
  <c r="I37" i="7"/>
  <c r="J37" i="7" s="1"/>
  <c r="K37" i="7" s="1"/>
  <c r="M37" i="7" s="1"/>
  <c r="N37" i="7" s="1"/>
  <c r="R37" i="7" s="1"/>
  <c r="I41" i="7"/>
  <c r="J41" i="7" s="1"/>
  <c r="K41" i="7" s="1"/>
  <c r="M41" i="7" s="1"/>
  <c r="N41" i="7" s="1"/>
  <c r="R41" i="7" s="1"/>
  <c r="I45" i="7"/>
  <c r="J45" i="7" s="1"/>
  <c r="K45" i="7" s="1"/>
  <c r="M45" i="7" s="1"/>
  <c r="N45" i="7" s="1"/>
  <c r="R45" i="7" s="1"/>
  <c r="I53" i="7"/>
  <c r="J53" i="7" s="1"/>
  <c r="K53" i="7" s="1"/>
  <c r="M53" i="7" s="1"/>
  <c r="N53" i="7" s="1"/>
  <c r="I59" i="7"/>
  <c r="J59" i="7" s="1"/>
  <c r="K59" i="7" s="1"/>
  <c r="M59" i="7" s="1"/>
  <c r="I30" i="7"/>
  <c r="J30" i="7" s="1"/>
  <c r="K30" i="7" s="1"/>
  <c r="M30" i="7" s="1"/>
  <c r="N30" i="7" s="1"/>
  <c r="R30" i="7" s="1"/>
  <c r="I46" i="7"/>
  <c r="J46" i="7" s="1"/>
  <c r="K46" i="7" s="1"/>
  <c r="M46" i="7" s="1"/>
  <c r="N46" i="7" s="1"/>
  <c r="R46" i="7" s="1"/>
  <c r="I42" i="7"/>
  <c r="J42" i="7" s="1"/>
  <c r="K42" i="7" s="1"/>
  <c r="M42" i="7" s="1"/>
  <c r="N42" i="7" s="1"/>
  <c r="R42" i="7" s="1"/>
  <c r="I38" i="7"/>
  <c r="J38" i="7" s="1"/>
  <c r="K38" i="7" s="1"/>
  <c r="M38" i="7" s="1"/>
  <c r="N38" i="7" s="1"/>
  <c r="R38" i="7" s="1"/>
  <c r="I54" i="7"/>
  <c r="J54" i="7" s="1"/>
  <c r="K54" i="7" s="1"/>
  <c r="M54" i="7" s="1"/>
  <c r="N54" i="7" s="1"/>
  <c r="R54" i="7" s="1"/>
  <c r="I34" i="7"/>
  <c r="J34" i="7" s="1"/>
  <c r="K34" i="7" s="1"/>
  <c r="M34" i="7" s="1"/>
  <c r="N34" i="7" s="1"/>
  <c r="R34" i="7" s="1"/>
  <c r="I50" i="7"/>
  <c r="J50" i="7" s="1"/>
  <c r="K50" i="7" s="1"/>
  <c r="M50" i="7" s="1"/>
  <c r="N50" i="7" s="1"/>
  <c r="R50" i="7" s="1"/>
  <c r="I18" i="7"/>
  <c r="J18" i="7" s="1"/>
  <c r="K18" i="7" s="1"/>
  <c r="M18" i="7" s="1"/>
  <c r="R18" i="7" s="1"/>
  <c r="I19" i="7"/>
  <c r="J19" i="7" s="1"/>
  <c r="I3" i="7"/>
  <c r="P4" i="7" l="1"/>
  <c r="Q4" i="7" s="1"/>
  <c r="R4" i="7"/>
  <c r="R53" i="7"/>
  <c r="P53" i="7"/>
  <c r="Q53" i="7" s="1"/>
  <c r="P38" i="7"/>
  <c r="Q38" i="7" s="1"/>
  <c r="P37" i="7"/>
  <c r="Q37" i="7" s="1"/>
  <c r="P26" i="7"/>
  <c r="Q26" i="7" s="1"/>
  <c r="P50" i="7"/>
  <c r="Q50" i="7" s="1"/>
  <c r="P42" i="7"/>
  <c r="Q42" i="7" s="1"/>
  <c r="P25" i="7"/>
  <c r="Q25" i="7" s="1"/>
  <c r="P51" i="7"/>
  <c r="P35" i="7"/>
  <c r="Q35" i="7" s="1"/>
  <c r="P49" i="7"/>
  <c r="Q49" i="7" s="1"/>
  <c r="P48" i="7"/>
  <c r="Q48" i="7" s="1"/>
  <c r="P28" i="7"/>
  <c r="Q28" i="7" s="1"/>
  <c r="P39" i="7"/>
  <c r="Q39" i="7" s="1"/>
  <c r="P32" i="7"/>
  <c r="Q32" i="7" s="1"/>
  <c r="P34" i="7"/>
  <c r="Q34" i="7" s="1"/>
  <c r="P46" i="7"/>
  <c r="Q46" i="7" s="1"/>
  <c r="P45" i="7"/>
  <c r="Q45" i="7" s="1"/>
  <c r="P52" i="7"/>
  <c r="Q52" i="7" s="1"/>
  <c r="P47" i="7"/>
  <c r="Q47" i="7" s="1"/>
  <c r="P31" i="7"/>
  <c r="Q31" i="7" s="1"/>
  <c r="P33" i="7"/>
  <c r="Q33" i="7" s="1"/>
  <c r="P40" i="7"/>
  <c r="Q40" i="7" s="1"/>
  <c r="P57" i="7"/>
  <c r="Q57" i="7" s="1"/>
  <c r="P18" i="7"/>
  <c r="Q18" i="7" s="1"/>
  <c r="P55" i="7"/>
  <c r="Q55" i="7" s="1"/>
  <c r="P56" i="7"/>
  <c r="Q56" i="7" s="1"/>
  <c r="P54" i="7"/>
  <c r="Q54" i="7" s="1"/>
  <c r="P30" i="7"/>
  <c r="P41" i="7"/>
  <c r="Q41" i="7" s="1"/>
  <c r="P44" i="7"/>
  <c r="P43" i="7"/>
  <c r="Q43" i="7" s="1"/>
  <c r="P27" i="7"/>
  <c r="Q27" i="7" s="1"/>
  <c r="P29" i="7"/>
  <c r="Q29" i="7" s="1"/>
  <c r="P36" i="7"/>
  <c r="Q36" i="7" s="1"/>
  <c r="P58" i="7"/>
  <c r="Q58" i="7" s="1"/>
  <c r="N59" i="7"/>
  <c r="R59" i="7" s="1"/>
  <c r="Q30" i="7"/>
  <c r="Q44" i="7"/>
  <c r="Q51" i="7"/>
  <c r="K19" i="7"/>
  <c r="M19" i="7" s="1"/>
  <c r="N19" i="7" s="1"/>
  <c r="R19" i="7" s="1"/>
  <c r="J3" i="7"/>
  <c r="K3" i="7" s="1"/>
  <c r="I5" i="7"/>
  <c r="J5" i="7" s="1"/>
  <c r="K5" i="7" s="1"/>
  <c r="I24" i="7"/>
  <c r="J24" i="7" s="1"/>
  <c r="K24" i="7" s="1"/>
  <c r="M24" i="7" s="1"/>
  <c r="N24" i="7" s="1"/>
  <c r="R24" i="7" s="1"/>
  <c r="I7" i="7"/>
  <c r="J7" i="7" s="1"/>
  <c r="K7" i="7" s="1"/>
  <c r="M7" i="7" s="1"/>
  <c r="I15" i="7"/>
  <c r="J15" i="7" s="1"/>
  <c r="K15" i="7" s="1"/>
  <c r="M15" i="7" s="1"/>
  <c r="I6" i="7"/>
  <c r="J6" i="7" s="1"/>
  <c r="K6" i="7" s="1"/>
  <c r="M6" i="7" s="1"/>
  <c r="N6" i="7" s="1"/>
  <c r="R6" i="7" s="1"/>
  <c r="T6" i="7" s="1"/>
  <c r="I10" i="7"/>
  <c r="J10" i="7" s="1"/>
  <c r="K10" i="7" s="1"/>
  <c r="M10" i="7" s="1"/>
  <c r="N10" i="7" s="1"/>
  <c r="R10" i="7" s="1"/>
  <c r="I14" i="7"/>
  <c r="J14" i="7" s="1"/>
  <c r="K14" i="7" s="1"/>
  <c r="M14" i="7" s="1"/>
  <c r="N14" i="7" s="1"/>
  <c r="R14" i="7" s="1"/>
  <c r="I17" i="7"/>
  <c r="J17" i="7" s="1"/>
  <c r="K17" i="7" s="1"/>
  <c r="M17" i="7" s="1"/>
  <c r="R17" i="7" s="1"/>
  <c r="I21" i="7"/>
  <c r="J21" i="7" s="1"/>
  <c r="I23" i="7"/>
  <c r="J23" i="7" s="1"/>
  <c r="K23" i="7" s="1"/>
  <c r="M23" i="7" s="1"/>
  <c r="N23" i="7" s="1"/>
  <c r="R23" i="7" s="1"/>
  <c r="I9" i="7"/>
  <c r="J9" i="7" s="1"/>
  <c r="K9" i="7" s="1"/>
  <c r="M9" i="7" s="1"/>
  <c r="N9" i="7" s="1"/>
  <c r="R9" i="7" s="1"/>
  <c r="I13" i="7"/>
  <c r="J13" i="7" s="1"/>
  <c r="K13" i="7" s="1"/>
  <c r="M13" i="7" s="1"/>
  <c r="R13" i="7" s="1"/>
  <c r="I8" i="7"/>
  <c r="J8" i="7" s="1"/>
  <c r="K8" i="7" s="1"/>
  <c r="M8" i="7" s="1"/>
  <c r="N8" i="7" s="1"/>
  <c r="R8" i="7" s="1"/>
  <c r="I12" i="7"/>
  <c r="J12" i="7" s="1"/>
  <c r="K12" i="7" s="1"/>
  <c r="M12" i="7" s="1"/>
  <c r="N12" i="7" s="1"/>
  <c r="R12" i="7" s="1"/>
  <c r="I16" i="7"/>
  <c r="J16" i="7" s="1"/>
  <c r="K16" i="7" s="1"/>
  <c r="M16" i="7" s="1"/>
  <c r="N16" i="7" s="1"/>
  <c r="R16" i="7" s="1"/>
  <c r="I22" i="7"/>
  <c r="J22" i="7" s="1"/>
  <c r="K22" i="7" s="1"/>
  <c r="M22" i="7" s="1"/>
  <c r="N22" i="7" s="1"/>
  <c r="R22" i="7" s="1"/>
  <c r="P9" i="7" l="1"/>
  <c r="P19" i="7"/>
  <c r="Q19" i="7" s="1"/>
  <c r="P12" i="7"/>
  <c r="Q12" i="7" s="1"/>
  <c r="P23" i="7"/>
  <c r="Q23" i="7" s="1"/>
  <c r="P10" i="7"/>
  <c r="Q10" i="7" s="1"/>
  <c r="P24" i="7"/>
  <c r="Q24" i="7" s="1"/>
  <c r="P16" i="7"/>
  <c r="Q16" i="7" s="1"/>
  <c r="P6" i="7"/>
  <c r="Q6" i="7" s="1"/>
  <c r="V6" i="7"/>
  <c r="P14" i="7"/>
  <c r="Q14" i="7" s="1"/>
  <c r="P8" i="7"/>
  <c r="Q8" i="7" s="1"/>
  <c r="P22" i="7"/>
  <c r="Q22" i="7" s="1"/>
  <c r="P13" i="7"/>
  <c r="P17" i="7"/>
  <c r="P59" i="7"/>
  <c r="Q59" i="7" s="1"/>
  <c r="Q9" i="7"/>
  <c r="N7" i="7"/>
  <c r="R7" i="7" s="1"/>
  <c r="K21" i="7"/>
  <c r="J60" i="7"/>
  <c r="M3" i="7"/>
  <c r="N3" i="7" s="1"/>
  <c r="R3" i="7" s="1"/>
  <c r="K20" i="7"/>
  <c r="J20" i="7"/>
  <c r="I20" i="7"/>
  <c r="M5" i="7"/>
  <c r="N5" i="7" s="1"/>
  <c r="R5" i="7" s="1"/>
  <c r="I60" i="7"/>
  <c r="P5" i="7" l="1"/>
  <c r="P7" i="7"/>
  <c r="Q7" i="7" s="1"/>
  <c r="P3" i="7"/>
  <c r="Q3" i="7" s="1"/>
  <c r="Q5" i="7"/>
  <c r="J61" i="7"/>
  <c r="Q13" i="7"/>
  <c r="V13" i="7"/>
  <c r="Q17" i="7"/>
  <c r="V17" i="7"/>
  <c r="M21" i="7"/>
  <c r="N21" i="7" s="1"/>
  <c r="R21" i="7" s="1"/>
  <c r="K60" i="7"/>
  <c r="I61" i="7"/>
  <c r="P21" i="7" l="1"/>
  <c r="K61" i="7"/>
  <c r="Q21" i="7" l="1"/>
  <c r="Q60" i="7" s="1"/>
  <c r="P60" i="7"/>
  <c r="R60" i="7" l="1"/>
  <c r="P15" i="7"/>
  <c r="P20" i="7" s="1"/>
  <c r="P61" i="7" s="1"/>
  <c r="R15" i="7"/>
  <c r="V15" i="7" s="1"/>
  <c r="Q15" i="7" l="1"/>
  <c r="Q20" i="7" s="1"/>
  <c r="R20" i="7" l="1"/>
  <c r="Q61" i="7"/>
  <c r="R6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<sst xmlns="http://schemas.openxmlformats.org/spreadsheetml/2006/main" count="176" uniqueCount="159">
  <si>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</si>
  <si>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</si>
  <si>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</si>
  <si>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</si>
  <si>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</si>
  <si>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</si>
  <si>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</si>
  <si>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</si>
  <si>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</si>
  <si>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</si>
  <si>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</si>
  <si>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</si>
  <si>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</si>
  <si>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</si>
  <si>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</si>
  <si>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</si>
  <si>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</si>
  <si>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</si>
  <si>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</si>
  <si>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</si>
  <si>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</si>
  <si>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</si>
  <si>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</si>
  <si>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</si>
  <si>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</si>
  <si>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</si>
  <si>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</si>
  <si>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</si>
  <si>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</si>
  <si>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</si>
  <si>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</si>
  <si>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</si>
  <si>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</si>
  <si>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</si>
  <si>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</si>
  <si>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</si>
  <si>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</si>
  <si>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</si>
  <si>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</si>
  <si>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</si>
  <si>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</si>
  <si>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</si>
  <si>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</si>
  <si>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</si>
  <si>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</si>
  <si>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</si>
  <si>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</si>
  <si>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</si>
  <si>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</si>
  <si>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</si>
  <si>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</si>
  <si>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</si>
  <si>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</si>
  <si>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</si>
  <si>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</si>
  <si>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</si>
  <si>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</si>
  <si>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</si>
  <si>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</si>
  <si>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</si>
  <si>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</si>
  <si>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</si>
  <si>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</si>
  <si>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</si>
  <si>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</si>
  <si>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</si>
  <si>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</si>
  <si>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</si>
  <si>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</si>
  <si>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</si>
  <si>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</si>
  <si>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</si>
  <si>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</si>
  <si>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</si>
  <si>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</si>
  <si>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</si>
  <si>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</si>
  <si>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</si>
  <si>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</si>
  <si>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</si>
  <si>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</si>
  <si>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</si>
  <si>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</si>
  <si>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</si>
  <si>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</si>
  <si>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</si>
  <si>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</si>
  <si>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</si>
  <si>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</si>
  <si>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</si>
  <si>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</si>
  <si>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</si>
  <si>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</si>
  <si>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</si>
  <si>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</si>
  <si>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</si>
  <si>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</si>
  <si>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</si>
  <si>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</si>
  <si>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</si>
  <si>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</si>
  <si>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</si>
  <si>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</si>
  <si>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</si>
  <si>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</si>
  <si>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</si>
  <si>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</si>
  <si>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</si>
  <si>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</si>
  <si>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</si>
  <si>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</si>
  <si>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</si>
  <si>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</si>
  <si>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</si>
  <si>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</si>
  <si>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</si>
  <si>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</si>
  <si>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</si>
  <si>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</si>
  <si>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</si>
  <si>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</si>
  <si>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</si>
  <si>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</si>
  <si>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</si>
  <si>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</si>
  <si>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</si>
  <si>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</si>
  <si>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</si>
  <si>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</si>
  <si>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</si>
  <si>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</si>
  <si>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</si>
  <si>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</si>
  <si>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</si>
  <si>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</si>
  <si>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</si>
  <si>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</si>
  <si>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</si>
  <si>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</si>
  <si>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</si>
  <si>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</si>
  <si>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</si>
  <si>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</si>
  <si>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</si>
  <si>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</si>
  <si>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</si>
  <si>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</si>
  <si>
    <t>Disposal Tariff Rate Increase</t>
  </si>
  <si>
    <t>Company Proposed Tariff</t>
  </si>
  <si>
    <t>4 yd compactor</t>
  </si>
  <si>
    <t>6 yd compactor</t>
  </si>
  <si>
    <t>5-32 GAL CANS MSW</t>
  </si>
  <si>
    <t>Add'l Carts</t>
  </si>
  <si>
    <t>Current</t>
  </si>
  <si>
    <t>Proposed</t>
  </si>
  <si>
    <t>35 GAL Cart MSW 1X MO</t>
  </si>
  <si>
    <t>Special PU</t>
  </si>
  <si>
    <t>Note: Commercial Rates not reflected on the worksheet will be increased by 2.0%</t>
  </si>
  <si>
    <t>Temp 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</si>
</sst>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0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44" fontId="0" fillId="0" borderId="0" xfId="2" applyNumberFormat="1" applyFont="1" applyFill="1" applyBorder="1"/>
    <xf numFmtId="0" fontId="3" fillId="5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164" fontId="3" fillId="0" borderId="0" xfId="2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43" fontId="0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3" fillId="0" borderId="0" xfId="0" applyFont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166" fontId="3" fillId="5" borderId="0" xfId="1" applyNumberFormat="1" applyFont="1" applyFill="1" applyBorder="1" applyAlignment="1">
      <alignment horizontal="center" wrapText="1"/>
    </xf>
    <xf numFmtId="164" fontId="3" fillId="5" borderId="0" xfId="2" applyNumberFormat="1" applyFont="1" applyFill="1" applyBorder="1" applyAlignment="1">
      <alignment wrapText="1"/>
    </xf>
    <xf numFmtId="44" fontId="2" fillId="0" borderId="0" xfId="10" applyFont="1" applyBorder="1"/>
    <xf numFmtId="44" fontId="63" fillId="0" borderId="0" xfId="2" applyFont="1" applyFill="1" applyBorder="1" applyAlignment="1">
      <alignment horizontal="center"/>
    </xf>
    <xf numFmtId="44" fontId="0" fillId="0" borderId="0" xfId="2" applyFont="1" applyAlignment="1">
      <alignment vertical="top" wrapText="1"/>
    </xf>
    <xf numFmtId="44" fontId="64" fillId="0" borderId="0" xfId="2" applyFont="1" applyFill="1" applyBorder="1" applyAlignment="1">
      <alignment horizontal="center"/>
    </xf>
  </cellXfs>
  <cellStyles count="390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topLeftCell="A10" workbookViewId="0">
      <selection activeCell="A57" sqref="A57"/>
    </sheetView>
  </sheetViews>
  <sheetFormatPr defaultRowHeight="15"/>
  <cols>
    <col min="1" max="1" width="39.5703125" style="3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43" t="s">
        <v>17</v>
      </c>
      <c r="B1" s="143"/>
      <c r="C1" s="143"/>
      <c r="D1" s="143"/>
      <c r="E1" s="143"/>
      <c r="F1" s="143"/>
      <c r="G1" s="143"/>
      <c r="H1" s="143"/>
    </row>
    <row r="2" spans="1:8">
      <c r="A2" s="3" t="s">
        <v>51</v>
      </c>
      <c r="B2" s="16" t="s">
        <v>38</v>
      </c>
      <c r="C2" s="16" t="s">
        <v>39</v>
      </c>
      <c r="D2" s="16" t="s">
        <v>40</v>
      </c>
      <c r="E2" s="17" t="s">
        <v>42</v>
      </c>
      <c r="F2" s="17" t="s">
        <v>43</v>
      </c>
      <c r="G2" s="17" t="s">
        <v>44</v>
      </c>
      <c r="H2" s="16" t="s">
        <v>47</v>
      </c>
    </row>
    <row r="3" spans="1:8">
      <c r="A3" s="3" t="s">
        <v>48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80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49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50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43" t="s">
        <v>10</v>
      </c>
      <c r="B11" s="143"/>
      <c r="C11" s="33"/>
      <c r="D11" s="19"/>
      <c r="E11" s="19"/>
      <c r="F11" s="19"/>
      <c r="G11" s="19"/>
      <c r="H11" s="19"/>
    </row>
    <row r="12" spans="1:8">
      <c r="A12" s="31" t="s">
        <v>46</v>
      </c>
      <c r="B12" s="35" t="s">
        <v>76</v>
      </c>
      <c r="C12" s="33"/>
      <c r="D12" s="19"/>
      <c r="E12" s="19"/>
      <c r="F12" s="19"/>
      <c r="G12" s="19"/>
      <c r="H12" s="19"/>
    </row>
    <row r="13" spans="1:8">
      <c r="A13" s="34" t="s">
        <v>77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52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53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54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55</v>
      </c>
      <c r="B17" s="32">
        <v>97</v>
      </c>
      <c r="C17" s="33"/>
      <c r="D17" s="19"/>
      <c r="E17" s="19"/>
      <c r="F17" s="3" t="s">
        <v>19</v>
      </c>
      <c r="G17" s="21" t="s">
        <v>41</v>
      </c>
      <c r="H17" s="19"/>
    </row>
    <row r="18" spans="1:8">
      <c r="A18" s="34" t="s">
        <v>56</v>
      </c>
      <c r="B18" s="32">
        <v>117</v>
      </c>
      <c r="C18" s="33"/>
      <c r="D18" s="19"/>
      <c r="E18" s="19"/>
      <c r="H18" s="19"/>
    </row>
    <row r="19" spans="1:8">
      <c r="A19" s="34" t="s">
        <v>57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90</v>
      </c>
      <c r="B20" s="43">
        <v>37</v>
      </c>
      <c r="C20" s="52" t="s">
        <v>78</v>
      </c>
      <c r="D20" s="33"/>
      <c r="E20" s="33"/>
      <c r="F20" s="14"/>
      <c r="G20" s="15"/>
      <c r="H20" s="33"/>
    </row>
    <row r="21" spans="1:8">
      <c r="A21" s="34" t="s">
        <v>58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59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60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61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62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63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64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65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66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67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68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69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81</v>
      </c>
      <c r="B34" s="32">
        <v>482</v>
      </c>
      <c r="C34" s="33" t="s">
        <v>78</v>
      </c>
      <c r="D34" s="19"/>
      <c r="E34" s="19"/>
      <c r="F34" s="19"/>
      <c r="G34" s="19"/>
      <c r="H34" s="19"/>
    </row>
    <row r="35" spans="1:8">
      <c r="A35" s="34" t="s">
        <v>82</v>
      </c>
      <c r="B35" s="32">
        <v>689</v>
      </c>
      <c r="C35" s="33" t="s">
        <v>78</v>
      </c>
      <c r="D35" s="19"/>
      <c r="E35" s="19"/>
      <c r="F35" s="19"/>
      <c r="G35" s="19"/>
      <c r="H35" s="19"/>
    </row>
    <row r="36" spans="1:8" s="29" customFormat="1">
      <c r="A36" s="34" t="s">
        <v>71</v>
      </c>
      <c r="B36" s="32">
        <v>892</v>
      </c>
      <c r="C36" s="33" t="s">
        <v>78</v>
      </c>
      <c r="D36" s="30"/>
      <c r="E36" s="30"/>
      <c r="F36" s="30"/>
      <c r="G36" s="30"/>
      <c r="H36" s="30"/>
    </row>
    <row r="37" spans="1:8" s="29" customFormat="1">
      <c r="A37" s="34" t="s">
        <v>70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72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73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74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83</v>
      </c>
      <c r="B41" s="32">
        <v>2800</v>
      </c>
      <c r="C41" s="33" t="s">
        <v>78</v>
      </c>
      <c r="D41" s="30"/>
      <c r="E41" s="30"/>
      <c r="F41" s="30"/>
      <c r="G41" s="30"/>
      <c r="H41" s="30"/>
    </row>
    <row r="42" spans="1:8" s="29" customFormat="1">
      <c r="A42" s="34" t="s">
        <v>75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45" t="s">
        <v>84</v>
      </c>
      <c r="C43" s="145"/>
    </row>
    <row r="46" spans="1:8">
      <c r="A46" s="28" t="s">
        <v>85</v>
      </c>
      <c r="B46" s="26" t="s">
        <v>5</v>
      </c>
      <c r="C46" s="26" t="s">
        <v>6</v>
      </c>
      <c r="F46" s="144" t="s">
        <v>24</v>
      </c>
      <c r="G46" s="144"/>
    </row>
    <row r="47" spans="1:8">
      <c r="A47" s="22" t="s">
        <v>7</v>
      </c>
      <c r="B47" s="5">
        <v>116.33</v>
      </c>
      <c r="C47" s="4">
        <f>B47/2000</f>
        <v>5.8165000000000001E-2</v>
      </c>
      <c r="F47" s="3" t="s">
        <v>25</v>
      </c>
      <c r="G47" s="8">
        <v>1.7500000000000002E-2</v>
      </c>
    </row>
    <row r="48" spans="1:8">
      <c r="A48" s="22" t="s">
        <v>8</v>
      </c>
      <c r="B48" s="6">
        <v>121.63</v>
      </c>
      <c r="C48" s="7">
        <f>B48/2000</f>
        <v>6.0815000000000001E-2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5.2999999999999972</v>
      </c>
      <c r="C49" s="11">
        <f>C48-C47</f>
        <v>2.6499999999999996E-3</v>
      </c>
      <c r="F49" s="3" t="s">
        <v>45</v>
      </c>
      <c r="G49" s="10">
        <v>6.1000000000000004E-3</v>
      </c>
    </row>
    <row r="50" spans="1:7">
      <c r="F50" s="3" t="s">
        <v>15</v>
      </c>
      <c r="G50" s="23">
        <f>SUM(G47:G49)</f>
        <v>2.8700000000000003E-2</v>
      </c>
    </row>
    <row r="51" spans="1:7">
      <c r="B51" s="27" t="s">
        <v>86</v>
      </c>
    </row>
    <row r="52" spans="1:7">
      <c r="A52" s="3" t="s">
        <v>144</v>
      </c>
      <c r="B52" s="24">
        <f>B49</f>
        <v>5.2999999999999972</v>
      </c>
      <c r="F52" s="3" t="s">
        <v>27</v>
      </c>
      <c r="G52" s="25">
        <f>1-G50</f>
        <v>0.97130000000000005</v>
      </c>
    </row>
    <row r="53" spans="1:7">
      <c r="A53" s="3" t="s">
        <v>145</v>
      </c>
      <c r="B53" s="24">
        <f>B52/$G$52</f>
        <v>5.4566045506022824</v>
      </c>
    </row>
    <row r="54" spans="1:7">
      <c r="A54" s="3" t="s">
        <v>23</v>
      </c>
      <c r="B54" s="13">
        <f>'Calc. per Staff format'!D68</f>
        <v>5699</v>
      </c>
    </row>
    <row r="55" spans="1:7" ht="17.25">
      <c r="A55" s="2" t="s">
        <v>146</v>
      </c>
      <c r="B55" s="135">
        <f>B53*B54</f>
        <v>31097.189333882408</v>
      </c>
    </row>
    <row r="57" spans="1:7">
      <c r="A57" s="133" t="s">
        <v>143</v>
      </c>
    </row>
    <row r="58" spans="1:7" ht="17.25">
      <c r="A58" s="29" t="s">
        <v>23</v>
      </c>
      <c r="B58" s="134">
        <f>+'Calc. per Staff format'!D79</f>
        <v>2561</v>
      </c>
    </row>
    <row r="59" spans="1:7" ht="17.25">
      <c r="A59" s="31" t="s">
        <v>146</v>
      </c>
      <c r="B59" s="135">
        <f>+B58*B49</f>
        <v>13573.299999999992</v>
      </c>
    </row>
    <row r="61" spans="1:7" ht="17.25">
      <c r="B61" s="136">
        <f>+B59+B55</f>
        <v>44670.489333882404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81"/>
  <sheetViews>
    <sheetView zoomScale="80" zoomScaleNormal="80" workbookViewId="0">
      <pane xSplit="3" ySplit="2" topLeftCell="K48" activePane="bottomRight" state="frozen"/>
      <selection pane="topRight" activeCell="D1" sqref="D1"/>
      <selection pane="bottomLeft" activeCell="A6" sqref="A6"/>
      <selection pane="bottomRight" activeCell="T57" sqref="T57:T58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16.85546875" style="68" customWidth="1"/>
    <col min="9" max="9" width="16.28515625" style="67" customWidth="1"/>
    <col min="10" max="10" width="9.5703125" style="36" bestFit="1" customWidth="1"/>
    <col min="11" max="11" width="9.85546875" style="36" bestFit="1" customWidth="1"/>
    <col min="12" max="12" width="16.5703125" style="68" customWidth="1"/>
    <col min="13" max="13" width="10.7109375" style="68" customWidth="1"/>
    <col min="14" max="14" width="15.140625" style="68" bestFit="1" customWidth="1"/>
    <col min="15" max="15" width="17.140625" style="36" bestFit="1" customWidth="1"/>
    <col min="16" max="16" width="18.42578125" style="68" customWidth="1"/>
    <col min="17" max="17" width="19.28515625" style="36" bestFit="1" customWidth="1"/>
    <col min="18" max="18" width="10.28515625" style="68" customWidth="1"/>
    <col min="19" max="19" width="4.7109375" style="68" customWidth="1"/>
    <col min="20" max="20" width="15.5703125" style="68" customWidth="1"/>
    <col min="21" max="21" width="9.7109375" style="68" customWidth="1"/>
    <col min="22" max="22" width="10.7109375" style="93" bestFit="1" customWidth="1"/>
    <col min="23" max="24" width="8.85546875" style="68"/>
    <col min="25" max="25" width="9.5703125" style="68" bestFit="1" customWidth="1"/>
    <col min="26" max="16384" width="8.85546875" style="68"/>
  </cols>
  <sheetData>
    <row r="2" spans="1:22" ht="45">
      <c r="A2" s="57"/>
      <c r="B2" s="85" t="s">
        <v>14</v>
      </c>
      <c r="C2" s="86" t="s">
        <v>16</v>
      </c>
      <c r="D2" s="85" t="s">
        <v>36</v>
      </c>
      <c r="E2" s="85" t="s">
        <v>0</v>
      </c>
      <c r="F2" s="57" t="s">
        <v>1</v>
      </c>
      <c r="G2" s="85" t="s">
        <v>10</v>
      </c>
      <c r="H2" s="153" t="s">
        <v>31</v>
      </c>
      <c r="I2" s="154" t="s">
        <v>32</v>
      </c>
      <c r="J2" s="155" t="s">
        <v>9</v>
      </c>
      <c r="K2" s="125" t="s">
        <v>2</v>
      </c>
      <c r="L2" s="153" t="s">
        <v>34</v>
      </c>
      <c r="M2" s="140" t="s">
        <v>147</v>
      </c>
      <c r="N2" s="140" t="s">
        <v>148</v>
      </c>
      <c r="O2" s="125" t="s">
        <v>35</v>
      </c>
      <c r="P2" s="153" t="s">
        <v>33</v>
      </c>
      <c r="Q2" s="125" t="s">
        <v>37</v>
      </c>
      <c r="T2" s="151" t="s">
        <v>152</v>
      </c>
      <c r="U2" s="151"/>
      <c r="V2" s="151"/>
    </row>
    <row r="3" spans="1:22" s="70" customFormat="1">
      <c r="A3" s="147" t="s">
        <v>12</v>
      </c>
      <c r="B3" s="59">
        <v>21</v>
      </c>
      <c r="C3" s="102" t="s">
        <v>93</v>
      </c>
      <c r="D3" s="104">
        <v>19</v>
      </c>
      <c r="E3" s="80">
        <f>References!B9</f>
        <v>1</v>
      </c>
      <c r="F3" s="78">
        <f>D3*E3*12</f>
        <v>228</v>
      </c>
      <c r="G3" s="107">
        <f>References!B14</f>
        <v>34</v>
      </c>
      <c r="H3" s="78">
        <f>F3*G3</f>
        <v>7752</v>
      </c>
      <c r="I3" s="54">
        <f>$D$71*H3</f>
        <v>7054.1109017451072</v>
      </c>
      <c r="J3" s="122">
        <f>(References!$C$49*I3)</f>
        <v>18.693393889624531</v>
      </c>
      <c r="K3" s="122">
        <f>J3/References!$G$52</f>
        <v>19.245746823457768</v>
      </c>
      <c r="L3" s="156">
        <v>7.1599999999999993</v>
      </c>
      <c r="M3" s="77">
        <f>K3/F3</f>
        <v>8.4411170278323538E-2</v>
      </c>
      <c r="N3" s="139">
        <f t="shared" ref="N3:N19" si="0">ROUND(M3+L3,2)</f>
        <v>7.24</v>
      </c>
      <c r="O3" s="122">
        <f t="shared" ref="O3:O19" si="1">+D3*L3*12</f>
        <v>1632.48</v>
      </c>
      <c r="P3" s="122">
        <f>+N3*D3*12</f>
        <v>1650.72</v>
      </c>
      <c r="Q3" s="122">
        <f>P3-O3</f>
        <v>18.240000000000009</v>
      </c>
      <c r="R3" s="129">
        <f>+N3/L3-1</f>
        <v>1.1173184357541999E-2</v>
      </c>
      <c r="T3" s="152" t="s">
        <v>154</v>
      </c>
      <c r="U3" s="152" t="s">
        <v>153</v>
      </c>
      <c r="V3" s="157"/>
    </row>
    <row r="4" spans="1:22" s="70" customFormat="1">
      <c r="A4" s="148"/>
      <c r="B4" s="55">
        <v>21</v>
      </c>
      <c r="C4" s="120" t="s">
        <v>155</v>
      </c>
      <c r="D4" s="104">
        <v>1</v>
      </c>
      <c r="E4" s="79">
        <v>1</v>
      </c>
      <c r="F4" s="78">
        <f>D4*E4*12</f>
        <v>12</v>
      </c>
      <c r="G4" s="114">
        <f>References!B15</f>
        <v>51</v>
      </c>
      <c r="H4" s="78">
        <f>F4*G4</f>
        <v>612</v>
      </c>
      <c r="I4" s="54">
        <f>$D$71*H4</f>
        <v>556.90349224303475</v>
      </c>
      <c r="J4" s="122">
        <f>(References!$C$49*I4)</f>
        <v>1.4757942544440419</v>
      </c>
      <c r="K4" s="122">
        <f>J4/References!$G$52</f>
        <v>1.5194010650098237</v>
      </c>
      <c r="L4" s="109">
        <v>8.2899999999999991</v>
      </c>
      <c r="M4" s="77">
        <f>K4/F4</f>
        <v>0.12661675541748532</v>
      </c>
      <c r="N4" s="139">
        <f t="shared" ref="N4" si="2">ROUND(M4+L4,2)</f>
        <v>8.42</v>
      </c>
      <c r="O4" s="122">
        <f t="shared" ref="O4" si="3">+D4*L4*12</f>
        <v>99.47999999999999</v>
      </c>
      <c r="P4" s="122">
        <f>+N4*D4*12</f>
        <v>101.03999999999999</v>
      </c>
      <c r="Q4" s="122">
        <f>P4-O4</f>
        <v>1.5600000000000023</v>
      </c>
      <c r="R4" s="129">
        <f>+N4/L4-1</f>
        <v>1.5681544028950611E-2</v>
      </c>
      <c r="T4" s="152"/>
      <c r="U4" s="152"/>
      <c r="V4" s="157"/>
    </row>
    <row r="5" spans="1:22" s="70" customFormat="1">
      <c r="A5" s="148"/>
      <c r="B5" s="55">
        <v>21</v>
      </c>
      <c r="C5" s="102" t="s">
        <v>94</v>
      </c>
      <c r="D5" s="104">
        <v>17</v>
      </c>
      <c r="E5" s="79">
        <f>References!B7</f>
        <v>4.333333333333333</v>
      </c>
      <c r="F5" s="78">
        <f>D5*E5*12</f>
        <v>883.99999999999989</v>
      </c>
      <c r="G5" s="108">
        <f>References!B13</f>
        <v>20</v>
      </c>
      <c r="H5" s="78">
        <f>F5*G5</f>
        <v>17679.999999999996</v>
      </c>
      <c r="I5" s="54">
        <f>$D$71*H5</f>
        <v>16088.323109243223</v>
      </c>
      <c r="J5" s="122">
        <f>(References!$C$49*I5)</f>
        <v>42.634056239494534</v>
      </c>
      <c r="K5" s="122">
        <f>J5/References!$G$52</f>
        <v>43.89380854472823</v>
      </c>
      <c r="L5" s="109">
        <v>12.17</v>
      </c>
      <c r="M5" s="77">
        <f>K5/F5*E5</f>
        <v>0.2151657281604325</v>
      </c>
      <c r="N5" s="139">
        <f t="shared" si="0"/>
        <v>12.39</v>
      </c>
      <c r="O5" s="122">
        <f t="shared" si="1"/>
        <v>2482.6799999999998</v>
      </c>
      <c r="P5" s="122">
        <f t="shared" ref="P5:P19" si="4">+N5*D5*12</f>
        <v>2527.56</v>
      </c>
      <c r="Q5" s="122">
        <f>P5-O5</f>
        <v>44.880000000000109</v>
      </c>
      <c r="R5" s="129">
        <f t="shared" ref="R5:R59" si="5">+N5/L5-1</f>
        <v>1.8077239112571863E-2</v>
      </c>
      <c r="V5" s="77"/>
    </row>
    <row r="6" spans="1:22" s="70" customFormat="1">
      <c r="A6" s="148"/>
      <c r="B6" s="55">
        <v>21</v>
      </c>
      <c r="C6" s="102" t="s">
        <v>95</v>
      </c>
      <c r="D6" s="104">
        <v>55</v>
      </c>
      <c r="E6" s="79">
        <f>References!B7</f>
        <v>4.333333333333333</v>
      </c>
      <c r="F6" s="78">
        <f t="shared" ref="F6:F19" si="6">D6*E6*12</f>
        <v>2860</v>
      </c>
      <c r="G6" s="108">
        <f>References!B13</f>
        <v>20</v>
      </c>
      <c r="H6" s="78">
        <f>F6*G6</f>
        <v>57200</v>
      </c>
      <c r="I6" s="54">
        <f>$D$71*H6</f>
        <v>52050.45711813985</v>
      </c>
      <c r="J6" s="122">
        <f>(References!$C$49*I6)</f>
        <v>137.93371136307059</v>
      </c>
      <c r="K6" s="122">
        <f>J6/References!$G$52</f>
        <v>142.00938058588548</v>
      </c>
      <c r="L6" s="109">
        <v>13.42</v>
      </c>
      <c r="M6" s="77">
        <f t="shared" ref="M6:M19" si="7">K6/F6*E6</f>
        <v>0.21516572816043253</v>
      </c>
      <c r="N6" s="139">
        <f t="shared" si="0"/>
        <v>13.64</v>
      </c>
      <c r="O6" s="122">
        <f t="shared" si="1"/>
        <v>8857.2000000000007</v>
      </c>
      <c r="P6" s="122">
        <f t="shared" si="4"/>
        <v>9002.4000000000015</v>
      </c>
      <c r="Q6" s="122">
        <f>P6-O6</f>
        <v>145.20000000000073</v>
      </c>
      <c r="R6" s="129">
        <f t="shared" si="5"/>
        <v>1.6393442622950838E-2</v>
      </c>
      <c r="T6" s="138">
        <f>ROUND(+U6*R6+U6,2)</f>
        <v>8.43</v>
      </c>
      <c r="U6" s="77">
        <v>8.2899999999999991</v>
      </c>
      <c r="V6" s="77">
        <f>+T6/U6-1</f>
        <v>1.6887816646562248E-2</v>
      </c>
    </row>
    <row r="7" spans="1:22" s="70" customFormat="1">
      <c r="A7" s="148"/>
      <c r="B7" s="55">
        <v>21</v>
      </c>
      <c r="C7" s="102" t="s">
        <v>96</v>
      </c>
      <c r="D7" s="104">
        <v>791</v>
      </c>
      <c r="E7" s="79">
        <f>References!B7</f>
        <v>4.333333333333333</v>
      </c>
      <c r="F7" s="78">
        <f t="shared" si="6"/>
        <v>41132</v>
      </c>
      <c r="G7" s="110">
        <f>References!B14</f>
        <v>34</v>
      </c>
      <c r="H7" s="78">
        <f t="shared" ref="H7:H19" si="8">F7*G7</f>
        <v>1398488</v>
      </c>
      <c r="I7" s="54">
        <f>$D$71*H7</f>
        <v>1272586.3579411393</v>
      </c>
      <c r="J7" s="122">
        <f>(References!$C$49*I7)</f>
        <v>3372.3538485440185</v>
      </c>
      <c r="K7" s="122">
        <f>J7/References!$G$52</f>
        <v>3472.0002558880042</v>
      </c>
      <c r="L7" s="109">
        <v>14.569999999999999</v>
      </c>
      <c r="M7" s="77">
        <f>K7/F7*E7</f>
        <v>0.36578173787273538</v>
      </c>
      <c r="N7" s="139">
        <f t="shared" si="0"/>
        <v>14.94</v>
      </c>
      <c r="O7" s="122">
        <f t="shared" si="1"/>
        <v>138298.44</v>
      </c>
      <c r="P7" s="122">
        <f t="shared" si="4"/>
        <v>141810.47999999998</v>
      </c>
      <c r="Q7" s="122">
        <f t="shared" ref="Q7:Q19" si="9">P7-O7</f>
        <v>3512.039999999979</v>
      </c>
      <c r="R7" s="129">
        <f t="shared" si="5"/>
        <v>2.5394646533974052E-2</v>
      </c>
      <c r="V7" s="77"/>
    </row>
    <row r="8" spans="1:22" s="70" customFormat="1">
      <c r="A8" s="148"/>
      <c r="B8" s="55">
        <v>21</v>
      </c>
      <c r="C8" s="102" t="s">
        <v>97</v>
      </c>
      <c r="D8" s="104">
        <v>308</v>
      </c>
      <c r="E8" s="79">
        <f>References!B7</f>
        <v>4.333333333333333</v>
      </c>
      <c r="F8" s="78">
        <f t="shared" si="6"/>
        <v>16015.999999999998</v>
      </c>
      <c r="G8" s="107">
        <f>References!B15</f>
        <v>51</v>
      </c>
      <c r="H8" s="78">
        <f t="shared" si="8"/>
        <v>816815.99999999988</v>
      </c>
      <c r="I8" s="54">
        <f>$D$71*H8</f>
        <v>743280.52764703694</v>
      </c>
      <c r="J8" s="122">
        <f>(References!$C$49*I8)</f>
        <v>1969.6933982646476</v>
      </c>
      <c r="K8" s="122">
        <f>J8/References!$G$52</f>
        <v>2027.8939547664445</v>
      </c>
      <c r="L8" s="109">
        <v>22.259999999999998</v>
      </c>
      <c r="M8" s="77">
        <f t="shared" si="7"/>
        <v>0.54867260680910301</v>
      </c>
      <c r="N8" s="139">
        <f t="shared" si="0"/>
        <v>22.81</v>
      </c>
      <c r="O8" s="122">
        <f t="shared" si="1"/>
        <v>82272.959999999992</v>
      </c>
      <c r="P8" s="122">
        <f t="shared" si="4"/>
        <v>84305.76</v>
      </c>
      <c r="Q8" s="122">
        <f t="shared" si="9"/>
        <v>2032.8000000000029</v>
      </c>
      <c r="R8" s="129">
        <f t="shared" si="5"/>
        <v>2.4707996406109656E-2</v>
      </c>
      <c r="V8" s="77"/>
    </row>
    <row r="9" spans="1:22" s="70" customFormat="1">
      <c r="A9" s="148"/>
      <c r="B9" s="55">
        <v>21</v>
      </c>
      <c r="C9" s="102" t="s">
        <v>98</v>
      </c>
      <c r="D9" s="104">
        <v>22</v>
      </c>
      <c r="E9" s="79">
        <f>References!B7</f>
        <v>4.333333333333333</v>
      </c>
      <c r="F9" s="78">
        <f t="shared" si="6"/>
        <v>1144</v>
      </c>
      <c r="G9" s="114">
        <f>References!B16</f>
        <v>77</v>
      </c>
      <c r="H9" s="78">
        <f t="shared" si="8"/>
        <v>88088</v>
      </c>
      <c r="I9" s="54">
        <f>$D$71*H9</f>
        <v>80157.703961935375</v>
      </c>
      <c r="J9" s="122">
        <f>(References!$C$49*I9)</f>
        <v>212.4179154991287</v>
      </c>
      <c r="K9" s="122">
        <f>J9/References!$G$52</f>
        <v>218.69444610226364</v>
      </c>
      <c r="L9" s="109">
        <v>30.299999999999997</v>
      </c>
      <c r="M9" s="77">
        <f t="shared" si="7"/>
        <v>0.8283880534176653</v>
      </c>
      <c r="N9" s="139">
        <f t="shared" si="0"/>
        <v>31.13</v>
      </c>
      <c r="O9" s="122">
        <f t="shared" si="1"/>
        <v>7999.1999999999989</v>
      </c>
      <c r="P9" s="122">
        <f t="shared" si="4"/>
        <v>8218.32</v>
      </c>
      <c r="Q9" s="122">
        <f t="shared" si="9"/>
        <v>219.1200000000008</v>
      </c>
      <c r="R9" s="129">
        <f t="shared" si="5"/>
        <v>2.7392739273927491E-2</v>
      </c>
      <c r="V9" s="77"/>
    </row>
    <row r="10" spans="1:22" s="70" customFormat="1">
      <c r="A10" s="148"/>
      <c r="B10" s="55">
        <v>21</v>
      </c>
      <c r="C10" s="102" t="s">
        <v>99</v>
      </c>
      <c r="D10" s="104">
        <v>8</v>
      </c>
      <c r="E10" s="79">
        <f>References!$B$7</f>
        <v>4.333333333333333</v>
      </c>
      <c r="F10" s="78">
        <f t="shared" si="6"/>
        <v>416</v>
      </c>
      <c r="G10" s="114">
        <f>References!B17</f>
        <v>97</v>
      </c>
      <c r="H10" s="78">
        <f t="shared" si="8"/>
        <v>40352</v>
      </c>
      <c r="I10" s="54">
        <f>$D$71*H10</f>
        <v>36719.231566978662</v>
      </c>
      <c r="J10" s="122">
        <f>(References!$C$49*I10)</f>
        <v>97.305963652493446</v>
      </c>
      <c r="K10" s="122">
        <f>J10/References!$G$52</f>
        <v>100.18116303149742</v>
      </c>
      <c r="L10" s="109">
        <v>38.1</v>
      </c>
      <c r="M10" s="77">
        <f t="shared" si="7"/>
        <v>1.043553781578098</v>
      </c>
      <c r="N10" s="139">
        <f t="shared" si="0"/>
        <v>39.14</v>
      </c>
      <c r="O10" s="122">
        <f t="shared" si="1"/>
        <v>3657.6000000000004</v>
      </c>
      <c r="P10" s="122">
        <f t="shared" si="4"/>
        <v>3757.44</v>
      </c>
      <c r="Q10" s="122">
        <f t="shared" si="9"/>
        <v>99.839999999999691</v>
      </c>
      <c r="R10" s="129">
        <f t="shared" si="5"/>
        <v>2.7296587926509241E-2</v>
      </c>
      <c r="V10" s="77"/>
    </row>
    <row r="11" spans="1:22" s="70" customFormat="1">
      <c r="A11" s="148"/>
      <c r="B11" s="55">
        <v>21</v>
      </c>
      <c r="C11" s="120" t="s">
        <v>151</v>
      </c>
      <c r="D11" s="104">
        <v>1</v>
      </c>
      <c r="E11" s="79">
        <f>+E10</f>
        <v>4.333333333333333</v>
      </c>
      <c r="F11" s="78">
        <f t="shared" ref="F11" si="10">D11*E11*12</f>
        <v>52</v>
      </c>
      <c r="G11" s="114">
        <f>References!B18</f>
        <v>117</v>
      </c>
      <c r="H11" s="78">
        <f t="shared" ref="H11" si="11">F11*G11</f>
        <v>6084</v>
      </c>
      <c r="I11" s="54">
        <f>$D$71*H11</f>
        <v>5536.2758934748754</v>
      </c>
      <c r="J11" s="122">
        <f>(References!$C$49*I11)</f>
        <v>14.671131117708418</v>
      </c>
      <c r="K11" s="122">
        <f>J11/References!$G$52</f>
        <v>15.104634116862368</v>
      </c>
      <c r="L11" s="109">
        <v>45.83</v>
      </c>
      <c r="M11" s="77">
        <f t="shared" ref="M11" si="12">K11/F11*E11</f>
        <v>1.2587195097385304</v>
      </c>
      <c r="N11" s="139">
        <f t="shared" ref="N11" si="13">ROUND(M11+L11,2)</f>
        <v>47.09</v>
      </c>
      <c r="O11" s="122">
        <f t="shared" ref="O11" si="14">+D11*L11*12</f>
        <v>549.96</v>
      </c>
      <c r="P11" s="122">
        <f t="shared" ref="P11" si="15">+N11*D11*12</f>
        <v>565.08000000000004</v>
      </c>
      <c r="Q11" s="122">
        <f t="shared" ref="Q11" si="16">P11-O11</f>
        <v>15.120000000000005</v>
      </c>
      <c r="R11" s="129">
        <f t="shared" ref="R11" si="17">+N11/L11-1</f>
        <v>2.7492908575169173E-2</v>
      </c>
      <c r="V11" s="77"/>
    </row>
    <row r="12" spans="1:22" s="70" customFormat="1">
      <c r="A12" s="148"/>
      <c r="B12" s="55">
        <v>21</v>
      </c>
      <c r="C12" s="102" t="s">
        <v>100</v>
      </c>
      <c r="D12" s="104">
        <v>602</v>
      </c>
      <c r="E12" s="79">
        <f>References!$B$7</f>
        <v>4.333333333333333</v>
      </c>
      <c r="F12" s="78">
        <f t="shared" si="6"/>
        <v>31304</v>
      </c>
      <c r="G12" s="107">
        <f>References!B20</f>
        <v>37</v>
      </c>
      <c r="H12" s="78">
        <f t="shared" si="8"/>
        <v>1158248</v>
      </c>
      <c r="I12" s="54">
        <f>$D$71*H12</f>
        <v>1053974.4380449518</v>
      </c>
      <c r="J12" s="122">
        <f>(References!$C$49*I12)</f>
        <v>2793.0322608191218</v>
      </c>
      <c r="K12" s="122">
        <f>J12/References!$G$52</f>
        <v>2875.5608574272846</v>
      </c>
      <c r="L12" s="109">
        <v>16.119999999999997</v>
      </c>
      <c r="M12" s="77">
        <f t="shared" si="7"/>
        <v>0.39805659709680019</v>
      </c>
      <c r="N12" s="139">
        <f t="shared" si="0"/>
        <v>16.52</v>
      </c>
      <c r="O12" s="122">
        <f t="shared" si="1"/>
        <v>116450.87999999998</v>
      </c>
      <c r="P12" s="122">
        <f t="shared" si="4"/>
        <v>119340.47999999998</v>
      </c>
      <c r="Q12" s="122">
        <f t="shared" si="9"/>
        <v>2889.6000000000058</v>
      </c>
      <c r="R12" s="129">
        <f t="shared" si="5"/>
        <v>2.4813895781637951E-2</v>
      </c>
      <c r="V12" s="77"/>
    </row>
    <row r="13" spans="1:22" s="70" customFormat="1">
      <c r="A13" s="148"/>
      <c r="B13" s="55">
        <v>21</v>
      </c>
      <c r="C13" s="102" t="s">
        <v>101</v>
      </c>
      <c r="D13" s="104">
        <v>2</v>
      </c>
      <c r="E13" s="115">
        <f>References!B6</f>
        <v>8.6666666666666661</v>
      </c>
      <c r="F13" s="78">
        <f>D13*E13*12</f>
        <v>208</v>
      </c>
      <c r="G13" s="107">
        <f>References!B20</f>
        <v>37</v>
      </c>
      <c r="H13" s="98">
        <f>F13*G13</f>
        <v>7696</v>
      </c>
      <c r="I13" s="54">
        <f>$D$71*H13</f>
        <v>7003.1524122588162</v>
      </c>
      <c r="J13" s="122">
        <f>(References!$C$49*I13)</f>
        <v>18.558353892485862</v>
      </c>
      <c r="K13" s="122">
        <f>J13/References!$G$52</f>
        <v>19.106716660646413</v>
      </c>
      <c r="L13" s="109">
        <v>26.44</v>
      </c>
      <c r="M13" s="77">
        <f t="shared" si="7"/>
        <v>0.79611319419360049</v>
      </c>
      <c r="N13" s="139">
        <f>+N12+T13</f>
        <v>26.809131513647642</v>
      </c>
      <c r="O13" s="122">
        <f t="shared" si="1"/>
        <v>634.56000000000006</v>
      </c>
      <c r="P13" s="122">
        <f t="shared" si="4"/>
        <v>643.41915632754342</v>
      </c>
      <c r="Q13" s="122">
        <f t="shared" si="9"/>
        <v>8.85915632754336</v>
      </c>
      <c r="R13" s="129">
        <f t="shared" si="5"/>
        <v>1.3961101121317654E-2</v>
      </c>
      <c r="T13" s="138">
        <f>+U13*R12+U13</f>
        <v>10.289131513647645</v>
      </c>
      <c r="U13" s="77">
        <v>10.039999999999999</v>
      </c>
      <c r="V13" s="77">
        <f>+T13/U13-1</f>
        <v>2.4813895781637951E-2</v>
      </c>
    </row>
    <row r="14" spans="1:22" s="70" customFormat="1">
      <c r="A14" s="148"/>
      <c r="B14" s="55">
        <v>21</v>
      </c>
      <c r="C14" s="102" t="s">
        <v>102</v>
      </c>
      <c r="D14" s="104">
        <v>759</v>
      </c>
      <c r="E14" s="79">
        <f>References!$B$7</f>
        <v>4.333333333333333</v>
      </c>
      <c r="F14" s="78">
        <f t="shared" si="6"/>
        <v>39468</v>
      </c>
      <c r="G14" s="107">
        <f>References!B21</f>
        <v>47</v>
      </c>
      <c r="H14" s="78">
        <f t="shared" si="8"/>
        <v>1854996</v>
      </c>
      <c r="I14" s="54">
        <f>$D$71*H14</f>
        <v>1687996.3243412755</v>
      </c>
      <c r="J14" s="122">
        <f>(References!$C$49*I14)</f>
        <v>4473.1902595043794</v>
      </c>
      <c r="K14" s="122">
        <f>J14/References!$G$52</f>
        <v>4605.3642124002672</v>
      </c>
      <c r="L14" s="109">
        <v>23.49</v>
      </c>
      <c r="M14" s="77">
        <f t="shared" si="7"/>
        <v>0.50563946117701652</v>
      </c>
      <c r="N14" s="139">
        <f t="shared" si="0"/>
        <v>24</v>
      </c>
      <c r="O14" s="122">
        <f t="shared" si="1"/>
        <v>213946.91999999998</v>
      </c>
      <c r="P14" s="122">
        <f t="shared" si="4"/>
        <v>218592</v>
      </c>
      <c r="Q14" s="122">
        <f t="shared" si="9"/>
        <v>4645.0800000000163</v>
      </c>
      <c r="R14" s="129">
        <f t="shared" si="5"/>
        <v>2.1711366538952781E-2</v>
      </c>
      <c r="U14" s="77"/>
      <c r="V14" s="77"/>
    </row>
    <row r="15" spans="1:22" s="70" customFormat="1">
      <c r="A15" s="148"/>
      <c r="B15" s="55">
        <v>21</v>
      </c>
      <c r="C15" s="102" t="s">
        <v>103</v>
      </c>
      <c r="D15" s="104">
        <v>6</v>
      </c>
      <c r="E15" s="115">
        <f>References!B6</f>
        <v>8.6666666666666661</v>
      </c>
      <c r="F15" s="78">
        <f t="shared" si="6"/>
        <v>624</v>
      </c>
      <c r="G15" s="107">
        <f>References!B21</f>
        <v>47</v>
      </c>
      <c r="H15" s="78">
        <f t="shared" si="8"/>
        <v>29328</v>
      </c>
      <c r="I15" s="54">
        <f>$D$71*H15</f>
        <v>26687.688922391706</v>
      </c>
      <c r="J15" s="122">
        <f>(References!$C$49*I15)</f>
        <v>70.722375644338015</v>
      </c>
      <c r="K15" s="122">
        <f>J15/References!$G$52</f>
        <v>72.812082409490387</v>
      </c>
      <c r="L15" s="109">
        <f>23.49+14.56</f>
        <v>38.049999999999997</v>
      </c>
      <c r="M15" s="77">
        <f t="shared" si="7"/>
        <v>1.011278922354033</v>
      </c>
      <c r="N15" s="139">
        <f>+N14+T15</f>
        <v>38.876117496807154</v>
      </c>
      <c r="O15" s="122">
        <f t="shared" si="1"/>
        <v>2739.6</v>
      </c>
      <c r="P15" s="122">
        <f t="shared" si="4"/>
        <v>2799.0804597701153</v>
      </c>
      <c r="Q15" s="122">
        <f t="shared" si="9"/>
        <v>59.480459770115431</v>
      </c>
      <c r="R15" s="129">
        <f t="shared" si="5"/>
        <v>2.1711366538952781E-2</v>
      </c>
      <c r="T15" s="138">
        <f>+U15*R14+U15</f>
        <v>14.876117496807153</v>
      </c>
      <c r="U15" s="77">
        <v>14.56</v>
      </c>
      <c r="V15" s="77">
        <f t="shared" ref="V15:V17" si="18">+T15/U15-1</f>
        <v>2.1711366538952781E-2</v>
      </c>
    </row>
    <row r="16" spans="1:22" s="70" customFormat="1">
      <c r="A16" s="148"/>
      <c r="B16" s="55">
        <v>21</v>
      </c>
      <c r="C16" s="102" t="s">
        <v>104</v>
      </c>
      <c r="D16" s="104">
        <v>230</v>
      </c>
      <c r="E16" s="79">
        <f>References!$B$7</f>
        <v>4.333333333333333</v>
      </c>
      <c r="F16" s="78">
        <f t="shared" si="6"/>
        <v>11960</v>
      </c>
      <c r="G16" s="107">
        <f>References!B22</f>
        <v>68</v>
      </c>
      <c r="H16" s="78">
        <f t="shared" si="8"/>
        <v>813280</v>
      </c>
      <c r="I16" s="54">
        <f>$D$71*H16</f>
        <v>740062.86302518845</v>
      </c>
      <c r="J16" s="122">
        <f>(References!$C$49*I16)</f>
        <v>1961.166587016749</v>
      </c>
      <c r="K16" s="122">
        <f>J16/References!$G$52</f>
        <v>2019.115193057499</v>
      </c>
      <c r="L16" s="109">
        <v>31.35</v>
      </c>
      <c r="M16" s="77">
        <f t="shared" si="7"/>
        <v>0.73156347574547065</v>
      </c>
      <c r="N16" s="139">
        <f t="shared" si="0"/>
        <v>32.08</v>
      </c>
      <c r="O16" s="122">
        <f t="shared" si="1"/>
        <v>86526</v>
      </c>
      <c r="P16" s="122">
        <f t="shared" si="4"/>
        <v>88540.799999999988</v>
      </c>
      <c r="Q16" s="122">
        <f t="shared" si="9"/>
        <v>2014.7999999999884</v>
      </c>
      <c r="R16" s="129">
        <f t="shared" si="5"/>
        <v>2.3285486443381131E-2</v>
      </c>
      <c r="U16" s="77"/>
      <c r="V16" s="77"/>
    </row>
    <row r="17" spans="1:25" s="70" customFormat="1">
      <c r="A17" s="148"/>
      <c r="B17" s="55">
        <v>21</v>
      </c>
      <c r="C17" s="102" t="s">
        <v>105</v>
      </c>
      <c r="D17" s="103">
        <v>12</v>
      </c>
      <c r="E17" s="115">
        <f>References!B6</f>
        <v>8.6666666666666661</v>
      </c>
      <c r="F17" s="78">
        <f t="shared" si="6"/>
        <v>1248</v>
      </c>
      <c r="G17" s="107">
        <f>References!B22</f>
        <v>68</v>
      </c>
      <c r="H17" s="98">
        <f t="shared" si="8"/>
        <v>84864</v>
      </c>
      <c r="I17" s="54">
        <f>$D$71*H17</f>
        <v>77223.950924367484</v>
      </c>
      <c r="J17" s="122">
        <f>(References!$C$49*I17)</f>
        <v>204.64346994957381</v>
      </c>
      <c r="K17" s="122">
        <f>J17/References!$G$52</f>
        <v>210.69028101469556</v>
      </c>
      <c r="L17" s="109">
        <f>31.35+19.49</f>
        <v>50.84</v>
      </c>
      <c r="M17" s="77">
        <f t="shared" si="7"/>
        <v>1.4631269514909413</v>
      </c>
      <c r="N17" s="139">
        <f>+N16+T17</f>
        <v>52.023834130781495</v>
      </c>
      <c r="O17" s="122">
        <f t="shared" si="1"/>
        <v>7320.9600000000009</v>
      </c>
      <c r="P17" s="122">
        <f t="shared" si="4"/>
        <v>7491.4321148325353</v>
      </c>
      <c r="Q17" s="122">
        <f t="shared" si="9"/>
        <v>170.47211483253432</v>
      </c>
      <c r="R17" s="129">
        <f t="shared" si="5"/>
        <v>2.3285486443381131E-2</v>
      </c>
      <c r="T17" s="138">
        <f>+U17*R16+U17</f>
        <v>19.943834130781497</v>
      </c>
      <c r="U17" s="77">
        <v>19.489999999999998</v>
      </c>
      <c r="V17" s="77">
        <f t="shared" si="18"/>
        <v>2.3285486443381131E-2</v>
      </c>
    </row>
    <row r="18" spans="1:25" s="70" customFormat="1">
      <c r="A18" s="72"/>
      <c r="B18" s="55">
        <v>21</v>
      </c>
      <c r="C18" s="120" t="s">
        <v>125</v>
      </c>
      <c r="D18" s="126">
        <v>4</v>
      </c>
      <c r="E18" s="79">
        <f>+E16*3</f>
        <v>13</v>
      </c>
      <c r="F18" s="78">
        <f t="shared" si="6"/>
        <v>624</v>
      </c>
      <c r="G18" s="121">
        <f>+G17</f>
        <v>68</v>
      </c>
      <c r="H18" s="98">
        <f t="shared" si="8"/>
        <v>42432</v>
      </c>
      <c r="I18" s="54">
        <f>$D$71*H18</f>
        <v>38611.975462183742</v>
      </c>
      <c r="J18" s="122">
        <f>(References!$C$49*I18)</f>
        <v>102.32173497478691</v>
      </c>
      <c r="K18" s="122">
        <f>J18/References!$G$52</f>
        <v>105.34514050734778</v>
      </c>
      <c r="L18" s="109">
        <f>+L17+19.49</f>
        <v>70.33</v>
      </c>
      <c r="M18" s="77">
        <f t="shared" si="7"/>
        <v>2.1946904272364121</v>
      </c>
      <c r="N18" s="139">
        <f>+N17+T17</f>
        <v>71.967668261562991</v>
      </c>
      <c r="O18" s="122">
        <f t="shared" si="1"/>
        <v>3375.84</v>
      </c>
      <c r="P18" s="122">
        <f t="shared" si="4"/>
        <v>3454.4480765550234</v>
      </c>
      <c r="Q18" s="122">
        <f t="shared" si="9"/>
        <v>78.608076555023217</v>
      </c>
      <c r="R18" s="129">
        <f t="shared" si="5"/>
        <v>2.3285486443381131E-2</v>
      </c>
      <c r="V18" s="77"/>
    </row>
    <row r="19" spans="1:25" s="70" customFormat="1">
      <c r="A19" s="105"/>
      <c r="B19" s="97">
        <v>23</v>
      </c>
      <c r="C19" s="106" t="s">
        <v>126</v>
      </c>
      <c r="D19" s="127">
        <v>425</v>
      </c>
      <c r="E19" s="95">
        <v>1</v>
      </c>
      <c r="F19" s="84">
        <f t="shared" si="6"/>
        <v>5100</v>
      </c>
      <c r="G19" s="128">
        <f>+G7</f>
        <v>34</v>
      </c>
      <c r="H19" s="99">
        <f t="shared" si="8"/>
        <v>173400</v>
      </c>
      <c r="I19" s="54">
        <f>$D$71*H19</f>
        <v>157789.3228021932</v>
      </c>
      <c r="J19" s="122">
        <f>(References!$C$49*I19)</f>
        <v>418.14170542581189</v>
      </c>
      <c r="K19" s="122">
        <f>J19/References!$G$52</f>
        <v>430.49696841945007</v>
      </c>
      <c r="L19" s="109">
        <v>4.59</v>
      </c>
      <c r="M19" s="77">
        <f t="shared" si="7"/>
        <v>8.4411170278323538E-2</v>
      </c>
      <c r="N19" s="139">
        <f t="shared" si="0"/>
        <v>4.67</v>
      </c>
      <c r="O19" s="122">
        <f t="shared" si="1"/>
        <v>23409</v>
      </c>
      <c r="P19" s="122">
        <f t="shared" si="4"/>
        <v>23817</v>
      </c>
      <c r="Q19" s="122">
        <f t="shared" si="9"/>
        <v>408</v>
      </c>
      <c r="R19" s="129">
        <f t="shared" si="5"/>
        <v>1.7429193899782147E-2</v>
      </c>
      <c r="V19" s="77"/>
    </row>
    <row r="20" spans="1:25" s="70" customFormat="1" ht="17.25">
      <c r="A20" s="58"/>
      <c r="B20" s="87"/>
      <c r="C20" s="60" t="s">
        <v>15</v>
      </c>
      <c r="D20" s="61">
        <f>SUM(D3:D19)</f>
        <v>3262</v>
      </c>
      <c r="E20" s="62"/>
      <c r="F20" s="63">
        <f>SUM(F3:F19)</f>
        <v>153280</v>
      </c>
      <c r="G20" s="64"/>
      <c r="H20" s="88">
        <f>SUM(H3:H19)</f>
        <v>6597316</v>
      </c>
      <c r="I20" s="65">
        <f>SUM(I3:I19)</f>
        <v>6003379.6075667469</v>
      </c>
      <c r="J20" s="123">
        <f>SUM(J3:J19)</f>
        <v>15908.955960051877</v>
      </c>
      <c r="K20" s="123">
        <f>SUM(K3:K19)</f>
        <v>16379.034242820835</v>
      </c>
      <c r="L20" s="82"/>
      <c r="M20" s="82"/>
      <c r="N20" s="82"/>
      <c r="O20" s="123">
        <f>SUM(O3:O19)</f>
        <v>700253.75999999989</v>
      </c>
      <c r="P20" s="123">
        <f>SUM(P3:P19)</f>
        <v>716617.45980748511</v>
      </c>
      <c r="Q20" s="123">
        <f>SUM(Q3:Q19)</f>
        <v>16363.699807485211</v>
      </c>
      <c r="R20" s="130">
        <f>+Q20/O20</f>
        <v>2.3368242688886404E-2</v>
      </c>
      <c r="T20" s="152" t="s">
        <v>156</v>
      </c>
      <c r="V20" s="159" t="s">
        <v>158</v>
      </c>
    </row>
    <row r="21" spans="1:25" s="70" customFormat="1" ht="15" customHeight="1">
      <c r="A21" s="147" t="s">
        <v>13</v>
      </c>
      <c r="B21" s="55">
        <v>32</v>
      </c>
      <c r="C21" s="112" t="s">
        <v>96</v>
      </c>
      <c r="D21" s="67">
        <v>13</v>
      </c>
      <c r="E21" s="79">
        <v>4.3330000000000002</v>
      </c>
      <c r="F21" s="117">
        <f>ROUND(+E21*D21*12,0)</f>
        <v>676</v>
      </c>
      <c r="G21" s="114">
        <f>References!B26</f>
        <v>29</v>
      </c>
      <c r="H21" s="78">
        <f t="shared" ref="H21:H22" si="19">F21*G21</f>
        <v>19604</v>
      </c>
      <c r="I21" s="54">
        <f t="shared" ref="I21:I56" si="20">$D$71*H21</f>
        <v>17839.111212307933</v>
      </c>
      <c r="J21" s="122">
        <f>(References!$C$49*I21)</f>
        <v>47.273644712616012</v>
      </c>
      <c r="K21" s="122">
        <f>J21/References!$G$52</f>
        <v>48.670487709889848</v>
      </c>
      <c r="L21" s="109">
        <v>4.51</v>
      </c>
      <c r="M21" s="77">
        <f>K21/F21</f>
        <v>7.1997762884452435E-2</v>
      </c>
      <c r="N21" s="139">
        <f t="shared" ref="N21:N59" si="21">ROUND(M21+L21,2)</f>
        <v>4.58</v>
      </c>
      <c r="O21" s="122">
        <f t="shared" ref="O21:O59" si="22">F21*L21</f>
        <v>3048.7599999999998</v>
      </c>
      <c r="P21" s="122">
        <f>+F21*N21</f>
        <v>3096.08</v>
      </c>
      <c r="Q21" s="122">
        <f t="shared" ref="Q21" si="23">P21-O21</f>
        <v>47.320000000000164</v>
      </c>
      <c r="R21" s="129">
        <f t="shared" si="5"/>
        <v>1.5521064301552201E-2</v>
      </c>
      <c r="V21" s="77"/>
    </row>
    <row r="22" spans="1:25" s="70" customFormat="1">
      <c r="A22" s="148"/>
      <c r="B22" s="55">
        <v>32</v>
      </c>
      <c r="C22" s="112" t="s">
        <v>97</v>
      </c>
      <c r="D22" s="67">
        <v>8</v>
      </c>
      <c r="E22" s="79">
        <f>+E21</f>
        <v>4.3330000000000002</v>
      </c>
      <c r="F22" s="117">
        <f t="shared" ref="F22:F59" si="24">ROUND(+E22*D22*12,0)</f>
        <v>416</v>
      </c>
      <c r="G22" s="114">
        <f>References!B26</f>
        <v>29</v>
      </c>
      <c r="H22" s="78">
        <f t="shared" si="19"/>
        <v>12064</v>
      </c>
      <c r="I22" s="54">
        <f t="shared" si="20"/>
        <v>10977.914592189496</v>
      </c>
      <c r="J22" s="122">
        <f>(References!$C$49*I22)</f>
        <v>29.091473669302161</v>
      </c>
      <c r="K22" s="122">
        <f>J22/References!$G$52</f>
        <v>29.951069359932212</v>
      </c>
      <c r="L22" s="109">
        <v>4.51</v>
      </c>
      <c r="M22" s="77">
        <f t="shared" ref="M22" si="25">K22/F22</f>
        <v>7.1997762884452435E-2</v>
      </c>
      <c r="N22" s="139">
        <f t="shared" si="21"/>
        <v>4.58</v>
      </c>
      <c r="O22" s="122">
        <f t="shared" si="22"/>
        <v>1876.1599999999999</v>
      </c>
      <c r="P22" s="122">
        <f t="shared" ref="P22:P59" si="26">+F22*N22</f>
        <v>1905.28</v>
      </c>
      <c r="Q22" s="122">
        <f t="shared" ref="Q22" si="27">P22-O22</f>
        <v>29.120000000000118</v>
      </c>
      <c r="R22" s="129">
        <f t="shared" si="5"/>
        <v>1.5521064301552201E-2</v>
      </c>
      <c r="V22" s="77"/>
    </row>
    <row r="23" spans="1:25" s="70" customFormat="1">
      <c r="A23" s="148"/>
      <c r="B23" s="55">
        <v>30</v>
      </c>
      <c r="C23" s="112" t="s">
        <v>104</v>
      </c>
      <c r="D23" s="96">
        <v>11</v>
      </c>
      <c r="E23" s="79">
        <f>+E22</f>
        <v>4.3330000000000002</v>
      </c>
      <c r="F23" s="117">
        <f t="shared" si="24"/>
        <v>572</v>
      </c>
      <c r="G23" s="114">
        <f>References!B22</f>
        <v>68</v>
      </c>
      <c r="H23" s="78">
        <f t="shared" ref="H23:H24" si="28">F23*G23</f>
        <v>38896</v>
      </c>
      <c r="I23" s="54">
        <f t="shared" si="20"/>
        <v>35394.3108403351</v>
      </c>
      <c r="J23" s="122">
        <f>(References!$C$49*I23)</f>
        <v>93.794923726888001</v>
      </c>
      <c r="K23" s="122">
        <f>J23/References!$G$52</f>
        <v>96.566378798402141</v>
      </c>
      <c r="L23" s="109">
        <v>10.629999999999999</v>
      </c>
      <c r="M23" s="77">
        <f t="shared" ref="M23:M24" si="29">K23/F23</f>
        <v>0.1688223405566471</v>
      </c>
      <c r="N23" s="139">
        <f t="shared" si="21"/>
        <v>10.8</v>
      </c>
      <c r="O23" s="122">
        <f t="shared" si="22"/>
        <v>6080.36</v>
      </c>
      <c r="P23" s="122">
        <f t="shared" si="26"/>
        <v>6177.6</v>
      </c>
      <c r="Q23" s="122">
        <f t="shared" ref="Q23:Q24" si="30">P23-O23</f>
        <v>97.240000000000691</v>
      </c>
      <c r="R23" s="129">
        <f t="shared" si="5"/>
        <v>1.599247412982141E-2</v>
      </c>
      <c r="T23" s="138">
        <f>+N23+2.6</f>
        <v>13.4</v>
      </c>
      <c r="V23" s="77"/>
    </row>
    <row r="24" spans="1:25" s="70" customFormat="1">
      <c r="A24" s="148"/>
      <c r="B24" s="55">
        <v>30</v>
      </c>
      <c r="C24" s="112" t="s">
        <v>105</v>
      </c>
      <c r="D24" s="96">
        <v>2</v>
      </c>
      <c r="E24" s="79">
        <f t="shared" ref="E24:E28" si="31">+E23</f>
        <v>4.3330000000000002</v>
      </c>
      <c r="F24" s="117">
        <f t="shared" si="24"/>
        <v>104</v>
      </c>
      <c r="G24" s="114">
        <f>References!B22</f>
        <v>68</v>
      </c>
      <c r="H24" s="78">
        <f t="shared" si="28"/>
        <v>7072</v>
      </c>
      <c r="I24" s="54">
        <f t="shared" si="20"/>
        <v>6435.3292436972906</v>
      </c>
      <c r="J24" s="122">
        <f>(References!$C$49*I24)</f>
        <v>17.053622495797818</v>
      </c>
      <c r="K24" s="122">
        <f>J24/References!$G$52</f>
        <v>17.557523417891296</v>
      </c>
      <c r="L24" s="109">
        <v>10.629999999999999</v>
      </c>
      <c r="M24" s="77">
        <f t="shared" si="29"/>
        <v>0.16882234055664708</v>
      </c>
      <c r="N24" s="139">
        <f t="shared" si="21"/>
        <v>10.8</v>
      </c>
      <c r="O24" s="122">
        <f t="shared" si="22"/>
        <v>1105.52</v>
      </c>
      <c r="P24" s="122">
        <f t="shared" si="26"/>
        <v>1123.2</v>
      </c>
      <c r="Q24" s="122">
        <f t="shared" si="30"/>
        <v>17.680000000000064</v>
      </c>
      <c r="R24" s="129">
        <f t="shared" si="5"/>
        <v>1.599247412982141E-2</v>
      </c>
      <c r="T24" s="138">
        <f t="shared" ref="T24:T56" si="32">+N24+2.6</f>
        <v>13.4</v>
      </c>
      <c r="V24" s="77"/>
    </row>
    <row r="25" spans="1:25" s="70" customFormat="1">
      <c r="A25" s="148"/>
      <c r="B25" s="55">
        <v>30</v>
      </c>
      <c r="C25" s="112" t="s">
        <v>127</v>
      </c>
      <c r="D25" s="96">
        <v>6</v>
      </c>
      <c r="E25" s="79">
        <v>1</v>
      </c>
      <c r="F25" s="117">
        <f t="shared" si="24"/>
        <v>72</v>
      </c>
      <c r="G25" s="116">
        <v>158.55000000000001</v>
      </c>
      <c r="H25" s="78">
        <f t="shared" ref="H25:H59" si="33">F25*G25</f>
        <v>11415.6</v>
      </c>
      <c r="I25" s="54">
        <f t="shared" si="20"/>
        <v>10387.888081780373</v>
      </c>
      <c r="J25" s="122">
        <f>(References!$C$49*I25)</f>
        <v>27.527903416717983</v>
      </c>
      <c r="K25" s="122">
        <f>J25/References!$G$52</f>
        <v>28.341298689095009</v>
      </c>
      <c r="L25" s="109">
        <v>26.57</v>
      </c>
      <c r="M25" s="77">
        <f t="shared" ref="M25:M59" si="34">K25/F25</f>
        <v>0.39362914845965291</v>
      </c>
      <c r="N25" s="139">
        <f t="shared" si="21"/>
        <v>26.96</v>
      </c>
      <c r="O25" s="122">
        <f t="shared" si="22"/>
        <v>1913.04</v>
      </c>
      <c r="P25" s="122">
        <f t="shared" si="26"/>
        <v>1941.1200000000001</v>
      </c>
      <c r="Q25" s="122">
        <f t="shared" ref="Q25:Q59" si="35">P25-O25</f>
        <v>28.080000000000155</v>
      </c>
      <c r="R25" s="129">
        <f t="shared" si="5"/>
        <v>1.4678208505833679E-2</v>
      </c>
      <c r="T25" s="138">
        <f t="shared" si="32"/>
        <v>29.560000000000002</v>
      </c>
      <c r="V25" s="77">
        <f>+Y25*(1+R25)</f>
        <v>42.362815205118558</v>
      </c>
      <c r="Y25" s="77">
        <v>41.75</v>
      </c>
    </row>
    <row r="26" spans="1:25" s="70" customFormat="1">
      <c r="A26" s="148"/>
      <c r="B26" s="55">
        <v>30</v>
      </c>
      <c r="C26" s="112" t="s">
        <v>128</v>
      </c>
      <c r="D26" s="96">
        <v>6</v>
      </c>
      <c r="E26" s="79">
        <v>2.1667000000000001</v>
      </c>
      <c r="F26" s="117">
        <f t="shared" si="24"/>
        <v>156</v>
      </c>
      <c r="G26" s="111">
        <f>+G25</f>
        <v>158.55000000000001</v>
      </c>
      <c r="H26" s="78">
        <f t="shared" si="33"/>
        <v>24733.800000000003</v>
      </c>
      <c r="I26" s="54">
        <f t="shared" si="20"/>
        <v>22507.090843857477</v>
      </c>
      <c r="J26" s="122">
        <f>(References!$C$49*I26)</f>
        <v>59.643790736222307</v>
      </c>
      <c r="K26" s="122">
        <f>J26/References!$G$52</f>
        <v>61.40614715970586</v>
      </c>
      <c r="L26" s="109">
        <v>26.57</v>
      </c>
      <c r="M26" s="77">
        <f t="shared" si="34"/>
        <v>0.39362914845965297</v>
      </c>
      <c r="N26" s="139">
        <f t="shared" si="21"/>
        <v>26.96</v>
      </c>
      <c r="O26" s="122">
        <f t="shared" si="22"/>
        <v>4144.92</v>
      </c>
      <c r="P26" s="122">
        <f t="shared" si="26"/>
        <v>4205.76</v>
      </c>
      <c r="Q26" s="122">
        <f t="shared" si="35"/>
        <v>60.840000000000146</v>
      </c>
      <c r="R26" s="129">
        <f t="shared" si="5"/>
        <v>1.4678208505833679E-2</v>
      </c>
      <c r="T26" s="138">
        <f t="shared" si="32"/>
        <v>29.560000000000002</v>
      </c>
      <c r="V26" s="77">
        <f t="shared" ref="V26:V56" si="36">+Y26*(1+R26)</f>
        <v>42.362815205118558</v>
      </c>
      <c r="Y26" s="77">
        <v>41.75</v>
      </c>
    </row>
    <row r="27" spans="1:25" s="70" customFormat="1">
      <c r="A27" s="148"/>
      <c r="B27" s="55">
        <v>30</v>
      </c>
      <c r="C27" s="112" t="s">
        <v>106</v>
      </c>
      <c r="D27" s="96">
        <v>37</v>
      </c>
      <c r="E27" s="79">
        <v>4.3330000000000002</v>
      </c>
      <c r="F27" s="117">
        <f t="shared" si="24"/>
        <v>1924</v>
      </c>
      <c r="G27" s="111">
        <f>+G26</f>
        <v>158.55000000000001</v>
      </c>
      <c r="H27" s="78">
        <f t="shared" si="33"/>
        <v>305050.2</v>
      </c>
      <c r="I27" s="54">
        <f t="shared" si="20"/>
        <v>277587.45374090882</v>
      </c>
      <c r="J27" s="122">
        <f>(References!$C$49*I27)</f>
        <v>735.60675241340823</v>
      </c>
      <c r="K27" s="122">
        <f>J27/References!$G$52</f>
        <v>757.3424816363721</v>
      </c>
      <c r="L27" s="109">
        <v>26.57</v>
      </c>
      <c r="M27" s="77">
        <f t="shared" si="34"/>
        <v>0.39362914845965286</v>
      </c>
      <c r="N27" s="139">
        <f t="shared" si="21"/>
        <v>26.96</v>
      </c>
      <c r="O27" s="122">
        <f t="shared" si="22"/>
        <v>51120.68</v>
      </c>
      <c r="P27" s="122">
        <f t="shared" si="26"/>
        <v>51871.040000000001</v>
      </c>
      <c r="Q27" s="122">
        <f t="shared" si="35"/>
        <v>750.36000000000058</v>
      </c>
      <c r="R27" s="129">
        <f t="shared" si="5"/>
        <v>1.4678208505833679E-2</v>
      </c>
      <c r="T27" s="138">
        <f t="shared" si="32"/>
        <v>29.560000000000002</v>
      </c>
      <c r="V27" s="77">
        <f t="shared" si="36"/>
        <v>42.362815205118558</v>
      </c>
      <c r="Y27" s="77">
        <v>41.75</v>
      </c>
    </row>
    <row r="28" spans="1:25" s="70" customFormat="1">
      <c r="A28" s="148"/>
      <c r="B28" s="55">
        <v>30</v>
      </c>
      <c r="C28" s="112" t="s">
        <v>107</v>
      </c>
      <c r="D28" s="67">
        <v>4</v>
      </c>
      <c r="E28" s="79">
        <f t="shared" si="31"/>
        <v>4.3330000000000002</v>
      </c>
      <c r="F28" s="117">
        <f t="shared" si="24"/>
        <v>208</v>
      </c>
      <c r="G28" s="111">
        <f>+G27</f>
        <v>158.55000000000001</v>
      </c>
      <c r="H28" s="78">
        <f t="shared" si="33"/>
        <v>32978.400000000001</v>
      </c>
      <c r="I28" s="54">
        <f t="shared" si="20"/>
        <v>30009.454458476634</v>
      </c>
      <c r="J28" s="122">
        <f>(References!$C$49*I28)</f>
        <v>79.525054314963072</v>
      </c>
      <c r="K28" s="122">
        <f>J28/References!$G$52</f>
        <v>81.874862879607818</v>
      </c>
      <c r="L28" s="109">
        <v>26.57</v>
      </c>
      <c r="M28" s="77">
        <f t="shared" si="34"/>
        <v>0.39362914845965297</v>
      </c>
      <c r="N28" s="139">
        <f t="shared" si="21"/>
        <v>26.96</v>
      </c>
      <c r="O28" s="122">
        <f t="shared" si="22"/>
        <v>5526.56</v>
      </c>
      <c r="P28" s="122">
        <f t="shared" si="26"/>
        <v>5607.68</v>
      </c>
      <c r="Q28" s="122">
        <f t="shared" si="35"/>
        <v>81.119999999999891</v>
      </c>
      <c r="R28" s="129">
        <f t="shared" si="5"/>
        <v>1.4678208505833679E-2</v>
      </c>
      <c r="T28" s="138">
        <f t="shared" si="32"/>
        <v>29.560000000000002</v>
      </c>
      <c r="V28" s="77">
        <f t="shared" si="36"/>
        <v>42.362815205118558</v>
      </c>
      <c r="Y28" s="77">
        <v>41.75</v>
      </c>
    </row>
    <row r="29" spans="1:25" s="70" customFormat="1">
      <c r="A29" s="148"/>
      <c r="B29" s="55">
        <v>30</v>
      </c>
      <c r="C29" s="112" t="s">
        <v>129</v>
      </c>
      <c r="D29" s="67">
        <v>4</v>
      </c>
      <c r="E29" s="79">
        <v>1</v>
      </c>
      <c r="F29" s="117">
        <f t="shared" si="24"/>
        <v>48</v>
      </c>
      <c r="G29" s="111">
        <f>+References!B28</f>
        <v>250</v>
      </c>
      <c r="H29" s="78">
        <f t="shared" si="33"/>
        <v>12000</v>
      </c>
      <c r="I29" s="54">
        <f t="shared" si="20"/>
        <v>10919.676318490878</v>
      </c>
      <c r="J29" s="122">
        <f>(References!$C$49*I29)</f>
        <v>28.937142244000821</v>
      </c>
      <c r="K29" s="122">
        <f>J29/References!$G$52</f>
        <v>29.792177745290662</v>
      </c>
      <c r="L29" s="109">
        <v>30.83</v>
      </c>
      <c r="M29" s="77">
        <f t="shared" si="34"/>
        <v>0.62067036969355549</v>
      </c>
      <c r="N29" s="139">
        <f t="shared" si="21"/>
        <v>31.45</v>
      </c>
      <c r="O29" s="122">
        <f t="shared" si="22"/>
        <v>1479.84</v>
      </c>
      <c r="P29" s="122">
        <f t="shared" si="26"/>
        <v>1509.6</v>
      </c>
      <c r="Q29" s="122">
        <f t="shared" si="35"/>
        <v>29.759999999999991</v>
      </c>
      <c r="R29" s="129">
        <f t="shared" si="5"/>
        <v>2.0110282192669526E-2</v>
      </c>
      <c r="T29" s="138">
        <f t="shared" si="32"/>
        <v>34.049999999999997</v>
      </c>
      <c r="V29" s="77">
        <f t="shared" si="36"/>
        <v>46.63944210184885</v>
      </c>
      <c r="Y29" s="77">
        <v>45.72</v>
      </c>
    </row>
    <row r="30" spans="1:25" s="70" customFormat="1">
      <c r="A30" s="148"/>
      <c r="B30" s="55">
        <v>30</v>
      </c>
      <c r="C30" s="112" t="s">
        <v>130</v>
      </c>
      <c r="D30" s="67">
        <v>10</v>
      </c>
      <c r="E30" s="79">
        <f>+E26</f>
        <v>2.1667000000000001</v>
      </c>
      <c r="F30" s="117">
        <f t="shared" si="24"/>
        <v>260</v>
      </c>
      <c r="G30" s="114">
        <f>+G29</f>
        <v>250</v>
      </c>
      <c r="H30" s="78">
        <f t="shared" si="33"/>
        <v>65000</v>
      </c>
      <c r="I30" s="54">
        <f t="shared" si="20"/>
        <v>59148.246725158926</v>
      </c>
      <c r="J30" s="122">
        <f>(References!$C$49*I30)</f>
        <v>156.74285382167113</v>
      </c>
      <c r="K30" s="122">
        <f>J30/References!$G$52</f>
        <v>161.37429612032443</v>
      </c>
      <c r="L30" s="109">
        <v>30.83</v>
      </c>
      <c r="M30" s="77">
        <f t="shared" si="34"/>
        <v>0.62067036969355549</v>
      </c>
      <c r="N30" s="139">
        <f t="shared" si="21"/>
        <v>31.45</v>
      </c>
      <c r="O30" s="122">
        <f t="shared" si="22"/>
        <v>8015.7999999999993</v>
      </c>
      <c r="P30" s="122">
        <f t="shared" si="26"/>
        <v>8177</v>
      </c>
      <c r="Q30" s="122">
        <f t="shared" si="35"/>
        <v>161.20000000000073</v>
      </c>
      <c r="R30" s="129">
        <f t="shared" si="5"/>
        <v>2.0110282192669526E-2</v>
      </c>
      <c r="T30" s="138">
        <f t="shared" si="32"/>
        <v>34.049999999999997</v>
      </c>
      <c r="V30" s="77">
        <f t="shared" si="36"/>
        <v>46.63944210184885</v>
      </c>
      <c r="Y30" s="77">
        <v>45.72</v>
      </c>
    </row>
    <row r="31" spans="1:25" s="70" customFormat="1">
      <c r="A31" s="148"/>
      <c r="B31" s="55">
        <v>30</v>
      </c>
      <c r="C31" s="112" t="s">
        <v>108</v>
      </c>
      <c r="D31" s="67">
        <v>44</v>
      </c>
      <c r="E31" s="79">
        <f>+E28</f>
        <v>4.3330000000000002</v>
      </c>
      <c r="F31" s="117">
        <f t="shared" si="24"/>
        <v>2288</v>
      </c>
      <c r="G31" s="114">
        <f>+G30</f>
        <v>250</v>
      </c>
      <c r="H31" s="78">
        <f t="shared" si="33"/>
        <v>572000</v>
      </c>
      <c r="I31" s="54">
        <f t="shared" si="20"/>
        <v>520504.57118139853</v>
      </c>
      <c r="J31" s="122">
        <f>(References!$C$49*I31)</f>
        <v>1379.337113630706</v>
      </c>
      <c r="K31" s="122">
        <f>J31/References!$G$52</f>
        <v>1420.0938058588551</v>
      </c>
      <c r="L31" s="109">
        <v>30.83</v>
      </c>
      <c r="M31" s="77">
        <f t="shared" si="34"/>
        <v>0.6206703696935556</v>
      </c>
      <c r="N31" s="139">
        <f t="shared" si="21"/>
        <v>31.45</v>
      </c>
      <c r="O31" s="122">
        <f t="shared" si="22"/>
        <v>70539.039999999994</v>
      </c>
      <c r="P31" s="122">
        <f t="shared" si="26"/>
        <v>71957.599999999991</v>
      </c>
      <c r="Q31" s="122">
        <f t="shared" si="35"/>
        <v>1418.5599999999977</v>
      </c>
      <c r="R31" s="129">
        <f t="shared" si="5"/>
        <v>2.0110282192669526E-2</v>
      </c>
      <c r="T31" s="138">
        <f t="shared" si="32"/>
        <v>34.049999999999997</v>
      </c>
      <c r="V31" s="77">
        <f t="shared" si="36"/>
        <v>46.63944210184885</v>
      </c>
      <c r="Y31" s="77">
        <v>45.72</v>
      </c>
    </row>
    <row r="32" spans="1:25" s="70" customFormat="1">
      <c r="A32" s="148"/>
      <c r="B32" s="55">
        <v>30</v>
      </c>
      <c r="C32" s="112" t="s">
        <v>131</v>
      </c>
      <c r="D32" s="67">
        <v>3</v>
      </c>
      <c r="E32" s="79">
        <v>1</v>
      </c>
      <c r="F32" s="117">
        <f t="shared" si="24"/>
        <v>36</v>
      </c>
      <c r="G32" s="114">
        <f>+References!B29</f>
        <v>324</v>
      </c>
      <c r="H32" s="78">
        <f t="shared" si="33"/>
        <v>11664</v>
      </c>
      <c r="I32" s="54">
        <f t="shared" si="20"/>
        <v>10613.925381573134</v>
      </c>
      <c r="J32" s="122">
        <f>(References!$C$49*I32)</f>
        <v>28.126902261168798</v>
      </c>
      <c r="K32" s="122">
        <f>J32/References!$G$52</f>
        <v>28.957996768422522</v>
      </c>
      <c r="L32" s="109">
        <v>38.690000000000005</v>
      </c>
      <c r="M32" s="77">
        <f t="shared" si="34"/>
        <v>0.80438879912284778</v>
      </c>
      <c r="N32" s="139">
        <f t="shared" si="21"/>
        <v>39.49</v>
      </c>
      <c r="O32" s="122">
        <f t="shared" si="22"/>
        <v>1392.8400000000001</v>
      </c>
      <c r="P32" s="122">
        <f t="shared" si="26"/>
        <v>1421.64</v>
      </c>
      <c r="Q32" s="122">
        <f t="shared" si="35"/>
        <v>28.799999999999955</v>
      </c>
      <c r="R32" s="129">
        <f t="shared" si="5"/>
        <v>2.0677177565262328E-2</v>
      </c>
      <c r="T32" s="138">
        <f t="shared" si="32"/>
        <v>42.09</v>
      </c>
      <c r="V32" s="77">
        <f t="shared" si="36"/>
        <v>54.698089945722408</v>
      </c>
      <c r="Y32" s="77">
        <v>53.59</v>
      </c>
    </row>
    <row r="33" spans="1:25" s="70" customFormat="1">
      <c r="A33" s="148"/>
      <c r="B33" s="55">
        <v>30</v>
      </c>
      <c r="C33" s="112" t="s">
        <v>132</v>
      </c>
      <c r="D33" s="67">
        <v>5</v>
      </c>
      <c r="E33" s="79">
        <f>+E30</f>
        <v>2.1667000000000001</v>
      </c>
      <c r="F33" s="117">
        <f t="shared" si="24"/>
        <v>130</v>
      </c>
      <c r="G33" s="114">
        <f>+G32</f>
        <v>324</v>
      </c>
      <c r="H33" s="78">
        <f t="shared" si="33"/>
        <v>42120</v>
      </c>
      <c r="I33" s="54">
        <f t="shared" si="20"/>
        <v>38328.063877902983</v>
      </c>
      <c r="J33" s="122">
        <f>(References!$C$49*I33)</f>
        <v>101.56936927644288</v>
      </c>
      <c r="K33" s="122">
        <f>J33/References!$G$52</f>
        <v>104.57054388597022</v>
      </c>
      <c r="L33" s="109">
        <v>38.690000000000005</v>
      </c>
      <c r="M33" s="77">
        <f t="shared" si="34"/>
        <v>0.80438879912284789</v>
      </c>
      <c r="N33" s="139">
        <f t="shared" si="21"/>
        <v>39.49</v>
      </c>
      <c r="O33" s="122">
        <f t="shared" si="22"/>
        <v>5029.7000000000007</v>
      </c>
      <c r="P33" s="122">
        <f t="shared" si="26"/>
        <v>5133.7</v>
      </c>
      <c r="Q33" s="122">
        <f t="shared" si="35"/>
        <v>103.99999999999909</v>
      </c>
      <c r="R33" s="129">
        <f t="shared" si="5"/>
        <v>2.0677177565262328E-2</v>
      </c>
      <c r="T33" s="138">
        <f t="shared" si="32"/>
        <v>42.09</v>
      </c>
      <c r="V33" s="77">
        <f t="shared" si="36"/>
        <v>54.698089945722408</v>
      </c>
      <c r="Y33" s="77">
        <v>53.59</v>
      </c>
    </row>
    <row r="34" spans="1:25" s="70" customFormat="1">
      <c r="A34" s="148"/>
      <c r="B34" s="55">
        <v>30</v>
      </c>
      <c r="C34" s="112" t="s">
        <v>109</v>
      </c>
      <c r="D34" s="67">
        <v>24</v>
      </c>
      <c r="E34" s="79">
        <f>+E31</f>
        <v>4.3330000000000002</v>
      </c>
      <c r="F34" s="117">
        <f t="shared" si="24"/>
        <v>1248</v>
      </c>
      <c r="G34" s="114">
        <f>+G33</f>
        <v>324</v>
      </c>
      <c r="H34" s="78">
        <f t="shared" si="33"/>
        <v>404352</v>
      </c>
      <c r="I34" s="54">
        <f t="shared" si="20"/>
        <v>367949.41322786862</v>
      </c>
      <c r="J34" s="122">
        <f>(References!$C$49*I34)</f>
        <v>975.06594505385169</v>
      </c>
      <c r="K34" s="122">
        <f>J34/References!$G$52</f>
        <v>1003.8772213053142</v>
      </c>
      <c r="L34" s="109">
        <v>38.690000000000005</v>
      </c>
      <c r="M34" s="77">
        <f t="shared" si="34"/>
        <v>0.80438879912284789</v>
      </c>
      <c r="N34" s="139">
        <f t="shared" si="21"/>
        <v>39.49</v>
      </c>
      <c r="O34" s="122">
        <f t="shared" si="22"/>
        <v>48285.120000000003</v>
      </c>
      <c r="P34" s="122">
        <f t="shared" si="26"/>
        <v>49283.520000000004</v>
      </c>
      <c r="Q34" s="122">
        <f t="shared" si="35"/>
        <v>998.40000000000146</v>
      </c>
      <c r="R34" s="129">
        <f t="shared" si="5"/>
        <v>2.0677177565262328E-2</v>
      </c>
      <c r="T34" s="138">
        <f t="shared" si="32"/>
        <v>42.09</v>
      </c>
      <c r="V34" s="77">
        <f t="shared" si="36"/>
        <v>54.698089945722408</v>
      </c>
      <c r="Y34" s="77">
        <v>53.59</v>
      </c>
    </row>
    <row r="35" spans="1:25" s="70" customFormat="1">
      <c r="A35" s="148"/>
      <c r="B35" s="55">
        <v>30</v>
      </c>
      <c r="C35" s="112" t="s">
        <v>110</v>
      </c>
      <c r="D35" s="67">
        <v>4</v>
      </c>
      <c r="E35" s="79">
        <f>+E34</f>
        <v>4.3330000000000002</v>
      </c>
      <c r="F35" s="117">
        <f t="shared" si="24"/>
        <v>208</v>
      </c>
      <c r="G35" s="114">
        <f>+G34</f>
        <v>324</v>
      </c>
      <c r="H35" s="78">
        <f t="shared" si="33"/>
        <v>67392</v>
      </c>
      <c r="I35" s="54">
        <f t="shared" si="20"/>
        <v>61324.902204644772</v>
      </c>
      <c r="J35" s="122">
        <f>(References!$C$49*I35)</f>
        <v>162.51099084230862</v>
      </c>
      <c r="K35" s="122">
        <f>J35/References!$G$52</f>
        <v>167.31287021755236</v>
      </c>
      <c r="L35" s="109">
        <v>38.690000000000005</v>
      </c>
      <c r="M35" s="77">
        <f t="shared" si="34"/>
        <v>0.80438879912284789</v>
      </c>
      <c r="N35" s="139">
        <f t="shared" si="21"/>
        <v>39.49</v>
      </c>
      <c r="O35" s="122">
        <f t="shared" si="22"/>
        <v>8047.5200000000013</v>
      </c>
      <c r="P35" s="122">
        <f t="shared" si="26"/>
        <v>8213.92</v>
      </c>
      <c r="Q35" s="122">
        <f t="shared" si="35"/>
        <v>166.39999999999873</v>
      </c>
      <c r="R35" s="129">
        <f t="shared" si="5"/>
        <v>2.0677177565262328E-2</v>
      </c>
      <c r="T35" s="138">
        <f t="shared" si="32"/>
        <v>42.09</v>
      </c>
      <c r="V35" s="77">
        <f t="shared" si="36"/>
        <v>54.698089945722408</v>
      </c>
      <c r="Y35" s="77">
        <v>53.59</v>
      </c>
    </row>
    <row r="36" spans="1:25" s="70" customFormat="1">
      <c r="A36" s="148"/>
      <c r="B36" s="55">
        <v>30</v>
      </c>
      <c r="C36" s="112" t="s">
        <v>111</v>
      </c>
      <c r="D36" s="67">
        <v>1</v>
      </c>
      <c r="E36" s="79">
        <f>+E34*2</f>
        <v>8.6660000000000004</v>
      </c>
      <c r="F36" s="117">
        <f t="shared" si="24"/>
        <v>104</v>
      </c>
      <c r="G36" s="114">
        <f>+G35</f>
        <v>324</v>
      </c>
      <c r="H36" s="78">
        <f t="shared" si="33"/>
        <v>33696</v>
      </c>
      <c r="I36" s="54">
        <f t="shared" si="20"/>
        <v>30662.451102322386</v>
      </c>
      <c r="J36" s="122">
        <f>(References!$C$49*I36)</f>
        <v>81.255495421154308</v>
      </c>
      <c r="K36" s="122">
        <f>J36/References!$G$52</f>
        <v>83.656435108776179</v>
      </c>
      <c r="L36" s="109">
        <v>38.690000000000005</v>
      </c>
      <c r="M36" s="77">
        <f t="shared" si="34"/>
        <v>0.80438879912284789</v>
      </c>
      <c r="N36" s="139">
        <f t="shared" si="21"/>
        <v>39.49</v>
      </c>
      <c r="O36" s="122">
        <f t="shared" si="22"/>
        <v>4023.7600000000007</v>
      </c>
      <c r="P36" s="122">
        <f t="shared" si="26"/>
        <v>4106.96</v>
      </c>
      <c r="Q36" s="122">
        <f t="shared" si="35"/>
        <v>83.199999999999363</v>
      </c>
      <c r="R36" s="129">
        <f t="shared" si="5"/>
        <v>2.0677177565262328E-2</v>
      </c>
      <c r="T36" s="138">
        <f t="shared" si="32"/>
        <v>42.09</v>
      </c>
      <c r="V36" s="77">
        <f t="shared" si="36"/>
        <v>54.698089945722408</v>
      </c>
      <c r="Y36" s="77">
        <v>53.59</v>
      </c>
    </row>
    <row r="37" spans="1:25" s="70" customFormat="1">
      <c r="A37" s="148"/>
      <c r="B37" s="55">
        <v>30</v>
      </c>
      <c r="C37" s="112" t="s">
        <v>133</v>
      </c>
      <c r="D37" s="67">
        <v>6</v>
      </c>
      <c r="E37" s="79">
        <v>1</v>
      </c>
      <c r="F37" s="117">
        <f t="shared" si="24"/>
        <v>72</v>
      </c>
      <c r="G37" s="114">
        <f>+References!B30</f>
        <v>473</v>
      </c>
      <c r="H37" s="78">
        <f t="shared" si="33"/>
        <v>34056</v>
      </c>
      <c r="I37" s="54">
        <f t="shared" si="20"/>
        <v>30990.041391877112</v>
      </c>
      <c r="J37" s="122">
        <f>(References!$C$49*I37)</f>
        <v>82.123609688474332</v>
      </c>
      <c r="K37" s="122">
        <f>J37/References!$G$52</f>
        <v>84.550200441134905</v>
      </c>
      <c r="L37" s="109">
        <v>55.3</v>
      </c>
      <c r="M37" s="77">
        <f t="shared" si="34"/>
        <v>1.174308339460207</v>
      </c>
      <c r="N37" s="139">
        <f t="shared" si="21"/>
        <v>56.47</v>
      </c>
      <c r="O37" s="122">
        <f t="shared" si="22"/>
        <v>3981.6</v>
      </c>
      <c r="P37" s="122">
        <f t="shared" si="26"/>
        <v>4065.84</v>
      </c>
      <c r="Q37" s="122">
        <f t="shared" si="35"/>
        <v>84.240000000000236</v>
      </c>
      <c r="R37" s="129">
        <f t="shared" si="5"/>
        <v>2.1157323688969276E-2</v>
      </c>
      <c r="T37" s="138">
        <f t="shared" si="32"/>
        <v>59.07</v>
      </c>
      <c r="V37" s="77">
        <f t="shared" si="36"/>
        <v>71.60355153707053</v>
      </c>
      <c r="Y37" s="77">
        <v>70.12</v>
      </c>
    </row>
    <row r="38" spans="1:25" s="70" customFormat="1">
      <c r="A38" s="148"/>
      <c r="B38" s="55">
        <v>30</v>
      </c>
      <c r="C38" s="112" t="s">
        <v>134</v>
      </c>
      <c r="D38" s="67">
        <v>5</v>
      </c>
      <c r="E38" s="79">
        <f>+E33</f>
        <v>2.1667000000000001</v>
      </c>
      <c r="F38" s="117">
        <f t="shared" si="24"/>
        <v>130</v>
      </c>
      <c r="G38" s="114">
        <f t="shared" ref="G38:G43" si="37">+G37</f>
        <v>473</v>
      </c>
      <c r="H38" s="78">
        <f t="shared" si="33"/>
        <v>61490</v>
      </c>
      <c r="I38" s="54">
        <f t="shared" si="20"/>
        <v>55954.241402000342</v>
      </c>
      <c r="J38" s="122">
        <f>(References!$C$49*I38)</f>
        <v>148.27873971530087</v>
      </c>
      <c r="K38" s="122">
        <f>J38/References!$G$52</f>
        <v>152.66008412982688</v>
      </c>
      <c r="L38" s="109">
        <v>55.3</v>
      </c>
      <c r="M38" s="77">
        <f t="shared" si="34"/>
        <v>1.1743083394602067</v>
      </c>
      <c r="N38" s="139">
        <f t="shared" si="21"/>
        <v>56.47</v>
      </c>
      <c r="O38" s="122">
        <f t="shared" si="22"/>
        <v>7189</v>
      </c>
      <c r="P38" s="122">
        <f t="shared" si="26"/>
        <v>7341.0999999999995</v>
      </c>
      <c r="Q38" s="122">
        <f t="shared" si="35"/>
        <v>152.09999999999945</v>
      </c>
      <c r="R38" s="129">
        <f t="shared" si="5"/>
        <v>2.1157323688969276E-2</v>
      </c>
      <c r="T38" s="138">
        <f t="shared" si="32"/>
        <v>59.07</v>
      </c>
      <c r="V38" s="77">
        <f t="shared" si="36"/>
        <v>71.60355153707053</v>
      </c>
      <c r="Y38" s="77">
        <v>70.12</v>
      </c>
    </row>
    <row r="39" spans="1:25" s="70" customFormat="1">
      <c r="A39" s="148"/>
      <c r="B39" s="55">
        <v>30</v>
      </c>
      <c r="C39" s="112" t="s">
        <v>112</v>
      </c>
      <c r="D39" s="67">
        <v>21</v>
      </c>
      <c r="E39" s="79">
        <f>+E35</f>
        <v>4.3330000000000002</v>
      </c>
      <c r="F39" s="117">
        <f t="shared" si="24"/>
        <v>1092</v>
      </c>
      <c r="G39" s="114">
        <f t="shared" si="37"/>
        <v>473</v>
      </c>
      <c r="H39" s="78">
        <f t="shared" si="33"/>
        <v>516516</v>
      </c>
      <c r="I39" s="54">
        <f t="shared" si="20"/>
        <v>470015.62777680287</v>
      </c>
      <c r="J39" s="122">
        <f>(References!$C$49*I39)</f>
        <v>1245.5414136085274</v>
      </c>
      <c r="K39" s="122">
        <f>J39/References!$G$52</f>
        <v>1282.344706690546</v>
      </c>
      <c r="L39" s="109">
        <v>55.3</v>
      </c>
      <c r="M39" s="77">
        <f t="shared" si="34"/>
        <v>1.174308339460207</v>
      </c>
      <c r="N39" s="139">
        <f t="shared" si="21"/>
        <v>56.47</v>
      </c>
      <c r="O39" s="122">
        <f t="shared" si="22"/>
        <v>60387.6</v>
      </c>
      <c r="P39" s="122">
        <f t="shared" si="26"/>
        <v>61665.24</v>
      </c>
      <c r="Q39" s="122">
        <f t="shared" si="35"/>
        <v>1277.6399999999994</v>
      </c>
      <c r="R39" s="129">
        <f t="shared" si="5"/>
        <v>2.1157323688969276E-2</v>
      </c>
      <c r="T39" s="138">
        <f t="shared" si="32"/>
        <v>59.07</v>
      </c>
      <c r="V39" s="77">
        <f t="shared" si="36"/>
        <v>71.60355153707053</v>
      </c>
      <c r="Y39" s="77">
        <v>70.12</v>
      </c>
    </row>
    <row r="40" spans="1:25" s="70" customFormat="1">
      <c r="A40" s="148"/>
      <c r="B40" s="55">
        <v>30</v>
      </c>
      <c r="C40" s="112" t="s">
        <v>113</v>
      </c>
      <c r="D40" s="67">
        <v>4</v>
      </c>
      <c r="E40" s="79">
        <f>+E39</f>
        <v>4.3330000000000002</v>
      </c>
      <c r="F40" s="117">
        <f t="shared" si="24"/>
        <v>208</v>
      </c>
      <c r="G40" s="114">
        <f t="shared" si="37"/>
        <v>473</v>
      </c>
      <c r="H40" s="78">
        <f t="shared" si="33"/>
        <v>98384</v>
      </c>
      <c r="I40" s="54">
        <f t="shared" si="20"/>
        <v>89526.78624320055</v>
      </c>
      <c r="J40" s="122">
        <f>(References!$C$49*I40)</f>
        <v>237.24598354448142</v>
      </c>
      <c r="K40" s="122">
        <f>J40/References!$G$52</f>
        <v>244.25613460772306</v>
      </c>
      <c r="L40" s="109">
        <v>55.3</v>
      </c>
      <c r="M40" s="77">
        <f t="shared" si="34"/>
        <v>1.174308339460207</v>
      </c>
      <c r="N40" s="139">
        <f t="shared" si="21"/>
        <v>56.47</v>
      </c>
      <c r="O40" s="122">
        <f t="shared" si="22"/>
        <v>11502.4</v>
      </c>
      <c r="P40" s="122">
        <f>+F40*N40</f>
        <v>11745.76</v>
      </c>
      <c r="Q40" s="122">
        <f t="shared" si="35"/>
        <v>243.36000000000058</v>
      </c>
      <c r="R40" s="129">
        <f t="shared" si="5"/>
        <v>2.1157323688969276E-2</v>
      </c>
      <c r="T40" s="138">
        <f t="shared" si="32"/>
        <v>59.07</v>
      </c>
      <c r="V40" s="77">
        <f t="shared" si="36"/>
        <v>71.60355153707053</v>
      </c>
      <c r="Y40" s="77">
        <v>70.12</v>
      </c>
    </row>
    <row r="41" spans="1:25" s="70" customFormat="1">
      <c r="A41" s="148"/>
      <c r="B41" s="55">
        <v>30</v>
      </c>
      <c r="C41" s="113" t="s">
        <v>114</v>
      </c>
      <c r="D41" s="67">
        <v>6</v>
      </c>
      <c r="E41" s="79">
        <f>+E40</f>
        <v>4.3330000000000002</v>
      </c>
      <c r="F41" s="117">
        <f t="shared" si="24"/>
        <v>312</v>
      </c>
      <c r="G41" s="114">
        <f t="shared" si="37"/>
        <v>473</v>
      </c>
      <c r="H41" s="78">
        <f t="shared" si="33"/>
        <v>147576</v>
      </c>
      <c r="I41" s="54">
        <f t="shared" si="20"/>
        <v>134290.17936480083</v>
      </c>
      <c r="J41" s="122">
        <f>(References!$C$49*I41)</f>
        <v>355.86897531672213</v>
      </c>
      <c r="K41" s="122">
        <f>J41/References!$G$52</f>
        <v>366.38420191158457</v>
      </c>
      <c r="L41" s="109">
        <v>55.3</v>
      </c>
      <c r="M41" s="77">
        <f t="shared" si="34"/>
        <v>1.174308339460207</v>
      </c>
      <c r="N41" s="139">
        <f t="shared" si="21"/>
        <v>56.47</v>
      </c>
      <c r="O41" s="122">
        <f t="shared" si="22"/>
        <v>17253.599999999999</v>
      </c>
      <c r="P41" s="122">
        <f t="shared" si="26"/>
        <v>17618.64</v>
      </c>
      <c r="Q41" s="122">
        <f t="shared" si="35"/>
        <v>365.04000000000087</v>
      </c>
      <c r="R41" s="129">
        <f t="shared" si="5"/>
        <v>2.1157323688969276E-2</v>
      </c>
      <c r="T41" s="138">
        <f t="shared" si="32"/>
        <v>59.07</v>
      </c>
      <c r="V41" s="77">
        <f t="shared" si="36"/>
        <v>71.60355153707053</v>
      </c>
      <c r="Y41" s="77">
        <v>70.12</v>
      </c>
    </row>
    <row r="42" spans="1:25" s="70" customFormat="1">
      <c r="A42" s="148"/>
      <c r="B42" s="55">
        <v>30</v>
      </c>
      <c r="C42" s="113" t="s">
        <v>115</v>
      </c>
      <c r="D42" s="67">
        <v>5</v>
      </c>
      <c r="E42" s="79">
        <f>+E41</f>
        <v>4.3330000000000002</v>
      </c>
      <c r="F42" s="117">
        <f t="shared" si="24"/>
        <v>260</v>
      </c>
      <c r="G42" s="114">
        <f t="shared" si="37"/>
        <v>473</v>
      </c>
      <c r="H42" s="78">
        <f t="shared" si="33"/>
        <v>122980</v>
      </c>
      <c r="I42" s="54">
        <f t="shared" si="20"/>
        <v>111908.48280400068</v>
      </c>
      <c r="J42" s="122">
        <f>(References!$C$49*I42)</f>
        <v>296.55747943060175</v>
      </c>
      <c r="K42" s="122">
        <f>J42/References!$G$52</f>
        <v>305.32016825965377</v>
      </c>
      <c r="L42" s="109">
        <v>55.3</v>
      </c>
      <c r="M42" s="77">
        <f t="shared" si="34"/>
        <v>1.1743083394602067</v>
      </c>
      <c r="N42" s="139">
        <f t="shared" si="21"/>
        <v>56.47</v>
      </c>
      <c r="O42" s="122">
        <f t="shared" si="22"/>
        <v>14378</v>
      </c>
      <c r="P42" s="122">
        <f t="shared" si="26"/>
        <v>14682.199999999999</v>
      </c>
      <c r="Q42" s="122">
        <f t="shared" si="35"/>
        <v>304.19999999999891</v>
      </c>
      <c r="R42" s="129">
        <f t="shared" si="5"/>
        <v>2.1157323688969276E-2</v>
      </c>
      <c r="T42" s="138">
        <f t="shared" si="32"/>
        <v>59.07</v>
      </c>
      <c r="V42" s="77">
        <f t="shared" si="36"/>
        <v>71.60355153707053</v>
      </c>
      <c r="Y42" s="77">
        <v>70.12</v>
      </c>
    </row>
    <row r="43" spans="1:25" s="70" customFormat="1">
      <c r="A43" s="148"/>
      <c r="B43" s="55">
        <v>30</v>
      </c>
      <c r="C43" s="113" t="s">
        <v>135</v>
      </c>
      <c r="D43" s="67">
        <v>6</v>
      </c>
      <c r="E43" s="79">
        <f>+E42</f>
        <v>4.3330000000000002</v>
      </c>
      <c r="F43" s="117">
        <f t="shared" si="24"/>
        <v>312</v>
      </c>
      <c r="G43" s="114">
        <f t="shared" si="37"/>
        <v>473</v>
      </c>
      <c r="H43" s="78">
        <f t="shared" si="33"/>
        <v>147576</v>
      </c>
      <c r="I43" s="54">
        <f t="shared" si="20"/>
        <v>134290.17936480083</v>
      </c>
      <c r="J43" s="122">
        <f>(References!$C$49*I43)</f>
        <v>355.86897531672213</v>
      </c>
      <c r="K43" s="122">
        <f>J43/References!$G$52</f>
        <v>366.38420191158457</v>
      </c>
      <c r="L43" s="109">
        <v>55.3</v>
      </c>
      <c r="M43" s="77">
        <f t="shared" si="34"/>
        <v>1.174308339460207</v>
      </c>
      <c r="N43" s="139">
        <f t="shared" si="21"/>
        <v>56.47</v>
      </c>
      <c r="O43" s="122">
        <f t="shared" si="22"/>
        <v>17253.599999999999</v>
      </c>
      <c r="P43" s="122">
        <f t="shared" si="26"/>
        <v>17618.64</v>
      </c>
      <c r="Q43" s="122">
        <f t="shared" si="35"/>
        <v>365.04000000000087</v>
      </c>
      <c r="R43" s="129">
        <f t="shared" si="5"/>
        <v>2.1157323688969276E-2</v>
      </c>
      <c r="T43" s="138">
        <f t="shared" si="32"/>
        <v>59.07</v>
      </c>
      <c r="V43" s="77">
        <f t="shared" si="36"/>
        <v>71.60355153707053</v>
      </c>
      <c r="Y43" s="77">
        <v>70.12</v>
      </c>
    </row>
    <row r="44" spans="1:25" s="70" customFormat="1">
      <c r="A44" s="148"/>
      <c r="B44" s="55">
        <v>30</v>
      </c>
      <c r="C44" s="112" t="s">
        <v>136</v>
      </c>
      <c r="D44" s="67">
        <v>1</v>
      </c>
      <c r="E44" s="79">
        <v>1</v>
      </c>
      <c r="F44" s="117">
        <f t="shared" si="24"/>
        <v>12</v>
      </c>
      <c r="G44" s="114">
        <f>+References!B31</f>
        <v>613</v>
      </c>
      <c r="H44" s="78">
        <f t="shared" si="33"/>
        <v>7356</v>
      </c>
      <c r="I44" s="54">
        <f t="shared" si="20"/>
        <v>6693.7615832349084</v>
      </c>
      <c r="J44" s="122">
        <f>(References!$C$49*I44)</f>
        <v>17.738468195572505</v>
      </c>
      <c r="K44" s="122">
        <f>J44/References!$G$52</f>
        <v>18.262604957863179</v>
      </c>
      <c r="L44" s="109">
        <v>69.680000000000007</v>
      </c>
      <c r="M44" s="77">
        <f t="shared" si="34"/>
        <v>1.5218837464885981</v>
      </c>
      <c r="N44" s="139">
        <f t="shared" si="21"/>
        <v>71.2</v>
      </c>
      <c r="O44" s="122">
        <f t="shared" si="22"/>
        <v>836.16000000000008</v>
      </c>
      <c r="P44" s="122">
        <f t="shared" si="26"/>
        <v>854.40000000000009</v>
      </c>
      <c r="Q44" s="122">
        <f t="shared" si="35"/>
        <v>18.240000000000009</v>
      </c>
      <c r="R44" s="129">
        <f t="shared" si="5"/>
        <v>2.1814006888633664E-2</v>
      </c>
      <c r="T44" s="138">
        <f t="shared" si="32"/>
        <v>73.8</v>
      </c>
      <c r="V44" s="77">
        <f t="shared" si="36"/>
        <v>86.179793340987374</v>
      </c>
      <c r="Y44" s="77">
        <v>84.34</v>
      </c>
    </row>
    <row r="45" spans="1:25" s="70" customFormat="1">
      <c r="A45" s="148"/>
      <c r="B45" s="55">
        <v>30</v>
      </c>
      <c r="C45" s="112" t="s">
        <v>137</v>
      </c>
      <c r="D45" s="67">
        <v>5</v>
      </c>
      <c r="E45" s="79">
        <f>+E38</f>
        <v>2.1667000000000001</v>
      </c>
      <c r="F45" s="117">
        <f t="shared" si="24"/>
        <v>130</v>
      </c>
      <c r="G45" s="114">
        <f>+G44</f>
        <v>613</v>
      </c>
      <c r="H45" s="78">
        <f t="shared" si="33"/>
        <v>79690</v>
      </c>
      <c r="I45" s="54">
        <f t="shared" si="20"/>
        <v>72515.750485044846</v>
      </c>
      <c r="J45" s="122">
        <f>(References!$C$49*I45)</f>
        <v>192.16673878536881</v>
      </c>
      <c r="K45" s="122">
        <f>J45/References!$G$52</f>
        <v>197.84488704351776</v>
      </c>
      <c r="L45" s="109">
        <v>69.680000000000007</v>
      </c>
      <c r="M45" s="77">
        <f t="shared" si="34"/>
        <v>1.5218837464885981</v>
      </c>
      <c r="N45" s="139">
        <f t="shared" si="21"/>
        <v>71.2</v>
      </c>
      <c r="O45" s="122">
        <f t="shared" si="22"/>
        <v>9058.4000000000015</v>
      </c>
      <c r="P45" s="122">
        <f t="shared" si="26"/>
        <v>9256</v>
      </c>
      <c r="Q45" s="122">
        <f t="shared" si="35"/>
        <v>197.59999999999854</v>
      </c>
      <c r="R45" s="129">
        <f t="shared" si="5"/>
        <v>2.1814006888633664E-2</v>
      </c>
      <c r="T45" s="138">
        <f t="shared" si="32"/>
        <v>73.8</v>
      </c>
      <c r="V45" s="77">
        <f t="shared" si="36"/>
        <v>86.179793340987374</v>
      </c>
      <c r="Y45" s="77">
        <v>84.34</v>
      </c>
    </row>
    <row r="46" spans="1:25" s="70" customFormat="1">
      <c r="A46" s="148"/>
      <c r="B46" s="55">
        <v>30</v>
      </c>
      <c r="C46" s="112" t="s">
        <v>116</v>
      </c>
      <c r="D46" s="67">
        <v>21</v>
      </c>
      <c r="E46" s="79">
        <f>+E43</f>
        <v>4.3330000000000002</v>
      </c>
      <c r="F46" s="117">
        <f t="shared" si="24"/>
        <v>1092</v>
      </c>
      <c r="G46" s="114">
        <f>+G45</f>
        <v>613</v>
      </c>
      <c r="H46" s="78">
        <f t="shared" si="33"/>
        <v>669396</v>
      </c>
      <c r="I46" s="54">
        <f t="shared" si="20"/>
        <v>609132.30407437671</v>
      </c>
      <c r="J46" s="122">
        <f>(References!$C$49*I46)</f>
        <v>1614.200605797098</v>
      </c>
      <c r="K46" s="122">
        <f>J46/References!$G$52</f>
        <v>1661.8970511655491</v>
      </c>
      <c r="L46" s="109">
        <v>69.680000000000007</v>
      </c>
      <c r="M46" s="77">
        <f t="shared" si="34"/>
        <v>1.5218837464885981</v>
      </c>
      <c r="N46" s="139">
        <f t="shared" si="21"/>
        <v>71.2</v>
      </c>
      <c r="O46" s="122">
        <f t="shared" si="22"/>
        <v>76090.560000000012</v>
      </c>
      <c r="P46" s="122">
        <f t="shared" si="26"/>
        <v>77750.400000000009</v>
      </c>
      <c r="Q46" s="122">
        <f t="shared" si="35"/>
        <v>1659.8399999999965</v>
      </c>
      <c r="R46" s="129">
        <f t="shared" si="5"/>
        <v>2.1814006888633664E-2</v>
      </c>
      <c r="T46" s="138">
        <f t="shared" si="32"/>
        <v>73.8</v>
      </c>
      <c r="V46" s="77">
        <f t="shared" si="36"/>
        <v>86.179793340987374</v>
      </c>
      <c r="Y46" s="77">
        <v>84.34</v>
      </c>
    </row>
    <row r="47" spans="1:25" s="70" customFormat="1">
      <c r="A47" s="148"/>
      <c r="B47" s="55">
        <v>30</v>
      </c>
      <c r="C47" s="112" t="s">
        <v>117</v>
      </c>
      <c r="D47" s="67">
        <v>4</v>
      </c>
      <c r="E47" s="79">
        <f>+E46</f>
        <v>4.3330000000000002</v>
      </c>
      <c r="F47" s="117">
        <f t="shared" si="24"/>
        <v>208</v>
      </c>
      <c r="G47" s="114">
        <f>+G46</f>
        <v>613</v>
      </c>
      <c r="H47" s="78">
        <f t="shared" si="33"/>
        <v>127504</v>
      </c>
      <c r="I47" s="54">
        <f t="shared" si="20"/>
        <v>116025.20077607174</v>
      </c>
      <c r="J47" s="122">
        <f>(References!$C$49*I47)</f>
        <v>307.46678205659003</v>
      </c>
      <c r="K47" s="122">
        <f>J47/References!$G$52</f>
        <v>316.55181926962837</v>
      </c>
      <c r="L47" s="109">
        <v>69.680000000000007</v>
      </c>
      <c r="M47" s="77">
        <f t="shared" si="34"/>
        <v>1.5218837464885979</v>
      </c>
      <c r="N47" s="139">
        <f t="shared" si="21"/>
        <v>71.2</v>
      </c>
      <c r="O47" s="122">
        <f t="shared" si="22"/>
        <v>14493.440000000002</v>
      </c>
      <c r="P47" s="122">
        <f t="shared" si="26"/>
        <v>14809.6</v>
      </c>
      <c r="Q47" s="122">
        <f t="shared" si="35"/>
        <v>316.15999999999804</v>
      </c>
      <c r="R47" s="129">
        <f t="shared" si="5"/>
        <v>2.1814006888633664E-2</v>
      </c>
      <c r="T47" s="138">
        <f t="shared" si="32"/>
        <v>73.8</v>
      </c>
      <c r="V47" s="77">
        <f t="shared" si="36"/>
        <v>86.179793340987374</v>
      </c>
      <c r="Y47" s="77">
        <v>84.34</v>
      </c>
    </row>
    <row r="48" spans="1:25" s="70" customFormat="1">
      <c r="A48" s="148"/>
      <c r="B48" s="55">
        <v>30</v>
      </c>
      <c r="C48" s="112" t="s">
        <v>138</v>
      </c>
      <c r="D48" s="67">
        <v>4</v>
      </c>
      <c r="E48" s="79">
        <f>+E47*2</f>
        <v>8.6660000000000004</v>
      </c>
      <c r="F48" s="117">
        <f t="shared" si="24"/>
        <v>416</v>
      </c>
      <c r="G48" s="114">
        <f>+G47</f>
        <v>613</v>
      </c>
      <c r="H48" s="78">
        <f t="shared" si="33"/>
        <v>255008</v>
      </c>
      <c r="I48" s="54">
        <f t="shared" si="20"/>
        <v>232050.40155214348</v>
      </c>
      <c r="J48" s="122">
        <f>(References!$C$49*I48)</f>
        <v>614.93356411318007</v>
      </c>
      <c r="K48" s="122">
        <f>J48/References!$G$52</f>
        <v>633.10363853925674</v>
      </c>
      <c r="L48" s="109">
        <v>69.680000000000007</v>
      </c>
      <c r="M48" s="77">
        <f t="shared" si="34"/>
        <v>1.5218837464885979</v>
      </c>
      <c r="N48" s="139">
        <f t="shared" si="21"/>
        <v>71.2</v>
      </c>
      <c r="O48" s="122">
        <f t="shared" si="22"/>
        <v>28986.880000000005</v>
      </c>
      <c r="P48" s="122">
        <f t="shared" si="26"/>
        <v>29619.200000000001</v>
      </c>
      <c r="Q48" s="122">
        <f t="shared" si="35"/>
        <v>632.31999999999607</v>
      </c>
      <c r="R48" s="129">
        <f t="shared" si="5"/>
        <v>2.1814006888633664E-2</v>
      </c>
      <c r="T48" s="138">
        <f t="shared" si="32"/>
        <v>73.8</v>
      </c>
      <c r="V48" s="77">
        <f t="shared" si="36"/>
        <v>86.179793340987374</v>
      </c>
      <c r="Y48" s="77">
        <v>84.34</v>
      </c>
    </row>
    <row r="49" spans="1:25" s="70" customFormat="1">
      <c r="A49" s="148"/>
      <c r="B49" s="55">
        <v>30</v>
      </c>
      <c r="C49" s="112" t="s">
        <v>118</v>
      </c>
      <c r="D49" s="67">
        <v>13</v>
      </c>
      <c r="E49" s="79">
        <f>+E47</f>
        <v>4.3330000000000002</v>
      </c>
      <c r="F49" s="117">
        <f t="shared" si="24"/>
        <v>676</v>
      </c>
      <c r="G49" s="114">
        <f>+References!B32</f>
        <v>840</v>
      </c>
      <c r="H49" s="78">
        <f t="shared" si="33"/>
        <v>567840</v>
      </c>
      <c r="I49" s="54">
        <f t="shared" si="20"/>
        <v>516719.08339098835</v>
      </c>
      <c r="J49" s="122">
        <f>(References!$C$49*I49)</f>
        <v>1369.3055709861189</v>
      </c>
      <c r="K49" s="122">
        <f>J49/References!$G$52</f>
        <v>1409.7658509071541</v>
      </c>
      <c r="L49" s="109">
        <v>97.55</v>
      </c>
      <c r="M49" s="77">
        <f t="shared" si="34"/>
        <v>2.0854524421703462</v>
      </c>
      <c r="N49" s="139">
        <f t="shared" si="21"/>
        <v>99.64</v>
      </c>
      <c r="O49" s="122">
        <f t="shared" si="22"/>
        <v>65943.8</v>
      </c>
      <c r="P49" s="122">
        <f>+F49*N49</f>
        <v>67356.639999999999</v>
      </c>
      <c r="Q49" s="122">
        <f t="shared" si="35"/>
        <v>1412.8399999999965</v>
      </c>
      <c r="R49" s="129">
        <f t="shared" si="5"/>
        <v>2.1424910302409117E-2</v>
      </c>
      <c r="T49" s="138">
        <f t="shared" si="32"/>
        <v>102.24</v>
      </c>
      <c r="V49" s="77">
        <f t="shared" si="36"/>
        <v>114.66516043054845</v>
      </c>
      <c r="Y49" s="77">
        <v>112.26</v>
      </c>
    </row>
    <row r="50" spans="1:25" s="70" customFormat="1">
      <c r="A50" s="148"/>
      <c r="B50" s="55">
        <v>30</v>
      </c>
      <c r="C50" s="112" t="s">
        <v>139</v>
      </c>
      <c r="D50" s="67">
        <v>2</v>
      </c>
      <c r="E50" s="79">
        <f>+E48</f>
        <v>8.6660000000000004</v>
      </c>
      <c r="F50" s="117">
        <f t="shared" si="24"/>
        <v>208</v>
      </c>
      <c r="G50" s="114">
        <f>+G49</f>
        <v>840</v>
      </c>
      <c r="H50" s="78">
        <f t="shared" si="33"/>
        <v>174720</v>
      </c>
      <c r="I50" s="54">
        <f t="shared" si="20"/>
        <v>158990.48719722719</v>
      </c>
      <c r="J50" s="122">
        <f>(References!$C$49*I50)</f>
        <v>421.32479107265198</v>
      </c>
      <c r="K50" s="122">
        <f>J50/References!$G$52</f>
        <v>433.77410797143204</v>
      </c>
      <c r="L50" s="109">
        <v>97.55</v>
      </c>
      <c r="M50" s="77">
        <f t="shared" si="34"/>
        <v>2.0854524421703462</v>
      </c>
      <c r="N50" s="139">
        <f t="shared" si="21"/>
        <v>99.64</v>
      </c>
      <c r="O50" s="122">
        <f t="shared" si="22"/>
        <v>20290.399999999998</v>
      </c>
      <c r="P50" s="122">
        <f t="shared" si="26"/>
        <v>20725.12</v>
      </c>
      <c r="Q50" s="122">
        <f t="shared" si="35"/>
        <v>434.72000000000116</v>
      </c>
      <c r="R50" s="129">
        <f t="shared" si="5"/>
        <v>2.1424910302409117E-2</v>
      </c>
      <c r="T50" s="138">
        <f t="shared" si="32"/>
        <v>102.24</v>
      </c>
      <c r="V50" s="77">
        <f t="shared" si="36"/>
        <v>114.66516043054845</v>
      </c>
      <c r="Y50" s="77">
        <v>112.26</v>
      </c>
    </row>
    <row r="51" spans="1:25" s="70" customFormat="1">
      <c r="A51" s="148"/>
      <c r="B51" s="55">
        <v>30</v>
      </c>
      <c r="C51" s="112" t="s">
        <v>119</v>
      </c>
      <c r="D51" s="67">
        <v>14</v>
      </c>
      <c r="E51" s="79">
        <f>+E49</f>
        <v>4.3330000000000002</v>
      </c>
      <c r="F51" s="117">
        <f t="shared" si="24"/>
        <v>728</v>
      </c>
      <c r="G51" s="114">
        <f>+G50</f>
        <v>840</v>
      </c>
      <c r="H51" s="78">
        <f t="shared" si="33"/>
        <v>611520</v>
      </c>
      <c r="I51" s="54">
        <f t="shared" si="20"/>
        <v>556466.70519029512</v>
      </c>
      <c r="J51" s="122">
        <f>(References!$C$49*I51)</f>
        <v>1474.6367687542818</v>
      </c>
      <c r="K51" s="122">
        <f>J51/References!$G$52</f>
        <v>1518.209377900012</v>
      </c>
      <c r="L51" s="109">
        <v>97.55</v>
      </c>
      <c r="M51" s="77">
        <f t="shared" si="34"/>
        <v>2.0854524421703462</v>
      </c>
      <c r="N51" s="139">
        <f t="shared" si="21"/>
        <v>99.64</v>
      </c>
      <c r="O51" s="122">
        <f t="shared" si="22"/>
        <v>71016.399999999994</v>
      </c>
      <c r="P51" s="122">
        <f t="shared" si="26"/>
        <v>72537.919999999998</v>
      </c>
      <c r="Q51" s="122">
        <f t="shared" si="35"/>
        <v>1521.5200000000041</v>
      </c>
      <c r="R51" s="129">
        <f t="shared" si="5"/>
        <v>2.1424910302409117E-2</v>
      </c>
      <c r="T51" s="138">
        <f t="shared" si="32"/>
        <v>102.24</v>
      </c>
      <c r="V51" s="77">
        <f t="shared" si="36"/>
        <v>114.66516043054845</v>
      </c>
      <c r="Y51" s="77">
        <v>112.26</v>
      </c>
    </row>
    <row r="52" spans="1:25" s="70" customFormat="1">
      <c r="A52" s="148"/>
      <c r="B52" s="55">
        <v>30</v>
      </c>
      <c r="C52" s="113" t="s">
        <v>120</v>
      </c>
      <c r="D52" s="67">
        <v>3</v>
      </c>
      <c r="E52" s="79">
        <f>+E51</f>
        <v>4.3330000000000002</v>
      </c>
      <c r="F52" s="117">
        <f t="shared" si="24"/>
        <v>156</v>
      </c>
      <c r="G52" s="114">
        <f>+G51</f>
        <v>840</v>
      </c>
      <c r="H52" s="78">
        <f t="shared" si="33"/>
        <v>131040</v>
      </c>
      <c r="I52" s="54">
        <f t="shared" si="20"/>
        <v>119242.8653979204</v>
      </c>
      <c r="J52" s="122">
        <f>(References!$C$49*I52)</f>
        <v>315.99359330448902</v>
      </c>
      <c r="K52" s="122">
        <f>J52/References!$G$52</f>
        <v>325.33058097857406</v>
      </c>
      <c r="L52" s="109">
        <v>97.55</v>
      </c>
      <c r="M52" s="77">
        <f t="shared" si="34"/>
        <v>2.0854524421703466</v>
      </c>
      <c r="N52" s="139">
        <f t="shared" si="21"/>
        <v>99.64</v>
      </c>
      <c r="O52" s="122">
        <f t="shared" si="22"/>
        <v>15217.8</v>
      </c>
      <c r="P52" s="122">
        <f t="shared" si="26"/>
        <v>15543.84</v>
      </c>
      <c r="Q52" s="122">
        <f t="shared" si="35"/>
        <v>326.04000000000087</v>
      </c>
      <c r="R52" s="129">
        <f t="shared" si="5"/>
        <v>2.1424910302409117E-2</v>
      </c>
      <c r="T52" s="138">
        <f t="shared" si="32"/>
        <v>102.24</v>
      </c>
      <c r="V52" s="77">
        <f t="shared" si="36"/>
        <v>114.66516043054845</v>
      </c>
      <c r="Y52" s="77">
        <v>112.26</v>
      </c>
    </row>
    <row r="53" spans="1:25" s="70" customFormat="1">
      <c r="A53" s="148"/>
      <c r="B53" s="55">
        <v>30</v>
      </c>
      <c r="C53" s="112" t="s">
        <v>140</v>
      </c>
      <c r="D53" s="67">
        <v>2</v>
      </c>
      <c r="E53" s="79">
        <v>1</v>
      </c>
      <c r="F53" s="117">
        <f t="shared" si="24"/>
        <v>24</v>
      </c>
      <c r="G53" s="114">
        <f>+References!B33</f>
        <v>980</v>
      </c>
      <c r="H53" s="78">
        <f t="shared" si="33"/>
        <v>23520</v>
      </c>
      <c r="I53" s="54">
        <f t="shared" si="20"/>
        <v>21402.565584242122</v>
      </c>
      <c r="J53" s="122">
        <f>(References!$C$49*I53)</f>
        <v>56.716798798241612</v>
      </c>
      <c r="K53" s="122">
        <f>J53/References!$G$52</f>
        <v>58.392668380769699</v>
      </c>
      <c r="L53" s="109">
        <v>121.04</v>
      </c>
      <c r="M53" s="77">
        <f t="shared" si="34"/>
        <v>2.4330278491987376</v>
      </c>
      <c r="N53" s="139">
        <f t="shared" si="21"/>
        <v>123.47</v>
      </c>
      <c r="O53" s="122">
        <f t="shared" si="22"/>
        <v>2904.96</v>
      </c>
      <c r="P53" s="122">
        <f t="shared" si="26"/>
        <v>2963.2799999999997</v>
      </c>
      <c r="Q53" s="122">
        <f t="shared" si="35"/>
        <v>58.319999999999709</v>
      </c>
      <c r="R53" s="129">
        <f t="shared" si="5"/>
        <v>2.0076007931262296E-2</v>
      </c>
      <c r="T53" s="138">
        <f t="shared" si="32"/>
        <v>126.07</v>
      </c>
      <c r="U53" s="77"/>
      <c r="V53" s="77">
        <f t="shared" si="36"/>
        <v>138.7507385988103</v>
      </c>
      <c r="Y53" s="77">
        <v>136.02000000000001</v>
      </c>
    </row>
    <row r="54" spans="1:25" s="70" customFormat="1">
      <c r="A54" s="148"/>
      <c r="B54" s="55">
        <v>30</v>
      </c>
      <c r="C54" s="112" t="s">
        <v>141</v>
      </c>
      <c r="D54" s="67">
        <v>2</v>
      </c>
      <c r="E54" s="79">
        <f>+E45</f>
        <v>2.1667000000000001</v>
      </c>
      <c r="F54" s="117">
        <f t="shared" si="24"/>
        <v>52</v>
      </c>
      <c r="G54" s="114">
        <f>+G53</f>
        <v>980</v>
      </c>
      <c r="H54" s="78">
        <f t="shared" si="33"/>
        <v>50960</v>
      </c>
      <c r="I54" s="54">
        <f t="shared" si="20"/>
        <v>46372.225432524596</v>
      </c>
      <c r="J54" s="122">
        <f>(References!$C$49*I54)</f>
        <v>122.88639739619016</v>
      </c>
      <c r="K54" s="122">
        <f>J54/References!$G$52</f>
        <v>126.51744815833435</v>
      </c>
      <c r="L54" s="109">
        <v>121.04</v>
      </c>
      <c r="M54" s="77">
        <f t="shared" si="34"/>
        <v>2.4330278491987376</v>
      </c>
      <c r="N54" s="139">
        <f t="shared" si="21"/>
        <v>123.47</v>
      </c>
      <c r="O54" s="122">
        <f t="shared" si="22"/>
        <v>6294.08</v>
      </c>
      <c r="P54" s="122">
        <f t="shared" si="26"/>
        <v>6420.44</v>
      </c>
      <c r="Q54" s="122">
        <f t="shared" si="35"/>
        <v>126.35999999999967</v>
      </c>
      <c r="R54" s="129">
        <f t="shared" si="5"/>
        <v>2.0076007931262296E-2</v>
      </c>
      <c r="T54" s="138">
        <f t="shared" si="32"/>
        <v>126.07</v>
      </c>
      <c r="U54" s="77"/>
      <c r="V54" s="77">
        <f t="shared" si="36"/>
        <v>138.7507385988103</v>
      </c>
      <c r="Y54" s="77">
        <v>136.02000000000001</v>
      </c>
    </row>
    <row r="55" spans="1:25" s="70" customFormat="1">
      <c r="A55" s="148"/>
      <c r="B55" s="55">
        <v>30</v>
      </c>
      <c r="C55" s="112" t="s">
        <v>121</v>
      </c>
      <c r="D55" s="67">
        <v>4</v>
      </c>
      <c r="E55" s="79">
        <f>+E52</f>
        <v>4.3330000000000002</v>
      </c>
      <c r="F55" s="117">
        <f t="shared" si="24"/>
        <v>208</v>
      </c>
      <c r="G55" s="114">
        <f>+G54</f>
        <v>980</v>
      </c>
      <c r="H55" s="78">
        <f t="shared" si="33"/>
        <v>203840</v>
      </c>
      <c r="I55" s="54">
        <f t="shared" si="20"/>
        <v>185488.90173009838</v>
      </c>
      <c r="J55" s="122">
        <f>(References!$C$49*I55)</f>
        <v>491.54558958476065</v>
      </c>
      <c r="K55" s="122">
        <f>J55/References!$G$52</f>
        <v>506.06979263333739</v>
      </c>
      <c r="L55" s="109">
        <v>121.04</v>
      </c>
      <c r="M55" s="77">
        <f t="shared" si="34"/>
        <v>2.4330278491987376</v>
      </c>
      <c r="N55" s="139">
        <f t="shared" si="21"/>
        <v>123.47</v>
      </c>
      <c r="O55" s="122">
        <f t="shared" si="22"/>
        <v>25176.32</v>
      </c>
      <c r="P55" s="122">
        <f t="shared" si="26"/>
        <v>25681.759999999998</v>
      </c>
      <c r="Q55" s="122">
        <f t="shared" si="35"/>
        <v>505.43999999999869</v>
      </c>
      <c r="R55" s="129">
        <f t="shared" si="5"/>
        <v>2.0076007931262296E-2</v>
      </c>
      <c r="T55" s="138">
        <f t="shared" si="32"/>
        <v>126.07</v>
      </c>
      <c r="V55" s="77">
        <f t="shared" si="36"/>
        <v>138.7507385988103</v>
      </c>
      <c r="Y55" s="77">
        <v>136.02000000000001</v>
      </c>
    </row>
    <row r="56" spans="1:25" s="70" customFormat="1">
      <c r="A56" s="148"/>
      <c r="B56" s="55">
        <v>30</v>
      </c>
      <c r="C56" s="112" t="s">
        <v>122</v>
      </c>
      <c r="D56" s="67">
        <v>2</v>
      </c>
      <c r="E56" s="79">
        <f>+E50</f>
        <v>8.6660000000000004</v>
      </c>
      <c r="F56" s="117">
        <f t="shared" si="24"/>
        <v>208</v>
      </c>
      <c r="G56" s="114">
        <f>+G55</f>
        <v>980</v>
      </c>
      <c r="H56" s="78">
        <f t="shared" si="33"/>
        <v>203840</v>
      </c>
      <c r="I56" s="54">
        <f t="shared" si="20"/>
        <v>185488.90173009838</v>
      </c>
      <c r="J56" s="122">
        <f>(References!$C$49*I56)</f>
        <v>491.54558958476065</v>
      </c>
      <c r="K56" s="122">
        <f>J56/References!$G$52</f>
        <v>506.06979263333739</v>
      </c>
      <c r="L56" s="109">
        <v>121.04</v>
      </c>
      <c r="M56" s="77">
        <f t="shared" si="34"/>
        <v>2.4330278491987376</v>
      </c>
      <c r="N56" s="139">
        <f t="shared" si="21"/>
        <v>123.47</v>
      </c>
      <c r="O56" s="122">
        <f t="shared" si="22"/>
        <v>25176.32</v>
      </c>
      <c r="P56" s="122">
        <f t="shared" si="26"/>
        <v>25681.759999999998</v>
      </c>
      <c r="Q56" s="122">
        <f t="shared" si="35"/>
        <v>505.43999999999869</v>
      </c>
      <c r="R56" s="129">
        <f t="shared" si="5"/>
        <v>2.0076007931262296E-2</v>
      </c>
      <c r="T56" s="138">
        <f t="shared" si="32"/>
        <v>126.07</v>
      </c>
      <c r="V56" s="77">
        <f t="shared" si="36"/>
        <v>138.7507385988103</v>
      </c>
      <c r="Y56" s="77">
        <v>136.02000000000001</v>
      </c>
    </row>
    <row r="57" spans="1:25" s="70" customFormat="1">
      <c r="A57" s="148"/>
      <c r="B57" s="55">
        <v>33</v>
      </c>
      <c r="C57" s="112" t="s">
        <v>149</v>
      </c>
      <c r="D57" s="67">
        <v>0.1</v>
      </c>
      <c r="E57" s="79">
        <v>4.3330000000000002</v>
      </c>
      <c r="F57" s="117">
        <f t="shared" ref="F57:F58" si="38">ROUND(+E57*D57*12,0)</f>
        <v>5</v>
      </c>
      <c r="G57" s="114">
        <f>+References!B38</f>
        <v>1686</v>
      </c>
      <c r="H57" s="78">
        <f t="shared" ref="H57:H58" si="39">F57*G57</f>
        <v>8430</v>
      </c>
      <c r="I57" s="54">
        <f t="shared" ref="I57:I58" si="40">$D$71*H57</f>
        <v>7671.0726137398415</v>
      </c>
      <c r="J57" s="122">
        <f>(References!$C$49*I57)</f>
        <v>20.328342426410575</v>
      </c>
      <c r="K57" s="122">
        <f>J57/References!$G$52</f>
        <v>20.929004866066688</v>
      </c>
      <c r="L57" s="109">
        <v>148.99</v>
      </c>
      <c r="M57" s="77">
        <f t="shared" ref="M57:M58" si="41">K57/F57</f>
        <v>4.1858009732133379</v>
      </c>
      <c r="N57" s="139">
        <f t="shared" ref="N57:N58" si="42">ROUND(M57+L57,2)</f>
        <v>153.18</v>
      </c>
      <c r="O57" s="122">
        <f t="shared" si="22"/>
        <v>744.95</v>
      </c>
      <c r="P57" s="122">
        <f t="shared" si="26"/>
        <v>765.90000000000009</v>
      </c>
      <c r="Q57" s="122">
        <f t="shared" ref="Q57:Q58" si="43">P57-O57</f>
        <v>20.950000000000045</v>
      </c>
      <c r="R57" s="129">
        <f t="shared" si="5"/>
        <v>2.8122692798174365E-2</v>
      </c>
      <c r="T57" s="138">
        <f>+N57+2.6</f>
        <v>155.78</v>
      </c>
      <c r="V57" s="77"/>
    </row>
    <row r="58" spans="1:25" s="70" customFormat="1">
      <c r="A58" s="148"/>
      <c r="B58" s="55">
        <v>33</v>
      </c>
      <c r="C58" s="112" t="s">
        <v>150</v>
      </c>
      <c r="D58" s="67">
        <v>0.1</v>
      </c>
      <c r="E58" s="79">
        <v>4.3330000000000002</v>
      </c>
      <c r="F58" s="117">
        <f t="shared" si="38"/>
        <v>5</v>
      </c>
      <c r="G58" s="114">
        <f>+References!B40</f>
        <v>2310</v>
      </c>
      <c r="H58" s="78">
        <f t="shared" si="39"/>
        <v>11550</v>
      </c>
      <c r="I58" s="54">
        <f t="shared" si="40"/>
        <v>10510.18845654747</v>
      </c>
      <c r="J58" s="122">
        <f>(References!$C$49*I58)</f>
        <v>27.851999409850791</v>
      </c>
      <c r="K58" s="122">
        <f>J58/References!$G$52</f>
        <v>28.674971079842262</v>
      </c>
      <c r="L58" s="109">
        <v>208.71</v>
      </c>
      <c r="M58" s="77">
        <f t="shared" si="41"/>
        <v>5.7349942159684524</v>
      </c>
      <c r="N58" s="139">
        <f t="shared" si="42"/>
        <v>214.44</v>
      </c>
      <c r="O58" s="122">
        <f t="shared" si="22"/>
        <v>1043.55</v>
      </c>
      <c r="P58" s="122">
        <f t="shared" si="26"/>
        <v>1072.2</v>
      </c>
      <c r="Q58" s="122">
        <f t="shared" si="43"/>
        <v>28.650000000000091</v>
      </c>
      <c r="R58" s="129">
        <f t="shared" si="5"/>
        <v>2.7454362512577157E-2</v>
      </c>
      <c r="T58" s="138">
        <f>+N58+2.6</f>
        <v>217.04</v>
      </c>
      <c r="V58" s="77"/>
    </row>
    <row r="59" spans="1:25" s="70" customFormat="1">
      <c r="A59" s="148"/>
      <c r="B59" s="55">
        <v>24</v>
      </c>
      <c r="C59" s="112" t="s">
        <v>123</v>
      </c>
      <c r="D59" s="67">
        <v>9</v>
      </c>
      <c r="E59" s="79">
        <v>1</v>
      </c>
      <c r="F59" s="117">
        <f t="shared" si="24"/>
        <v>108</v>
      </c>
      <c r="G59" s="114">
        <f>+References!B42</f>
        <v>125</v>
      </c>
      <c r="H59" s="78">
        <f t="shared" si="33"/>
        <v>13500</v>
      </c>
      <c r="I59" s="54">
        <f>$D$71*H59</f>
        <v>12284.635858302237</v>
      </c>
      <c r="J59" s="122">
        <f>(References!$C$49*I59)</f>
        <v>32.554285024500928</v>
      </c>
      <c r="K59" s="122">
        <f>J59/References!$G$52</f>
        <v>33.516199963451996</v>
      </c>
      <c r="L59" s="109">
        <v>23.32</v>
      </c>
      <c r="M59" s="77">
        <f t="shared" si="34"/>
        <v>0.31033518484677775</v>
      </c>
      <c r="N59" s="139">
        <f t="shared" si="21"/>
        <v>23.63</v>
      </c>
      <c r="O59" s="122">
        <f t="shared" si="22"/>
        <v>2518.56</v>
      </c>
      <c r="P59" s="122">
        <f t="shared" si="26"/>
        <v>2552.04</v>
      </c>
      <c r="Q59" s="122">
        <f t="shared" si="35"/>
        <v>33.480000000000018</v>
      </c>
      <c r="R59" s="129">
        <f t="shared" si="5"/>
        <v>1.3293310463121655E-2</v>
      </c>
      <c r="V59" s="77"/>
    </row>
    <row r="60" spans="1:25" s="70" customFormat="1">
      <c r="A60" s="58"/>
      <c r="B60" s="56"/>
      <c r="C60" s="60" t="s">
        <v>15</v>
      </c>
      <c r="D60" s="61">
        <f>SUM(D21:D59)</f>
        <v>321.20000000000005</v>
      </c>
      <c r="E60" s="61"/>
      <c r="F60" s="61">
        <f>SUM(F21:F59)</f>
        <v>15072</v>
      </c>
      <c r="G60" s="61"/>
      <c r="H60" s="61">
        <f>SUM(H21:H59)</f>
        <v>5928330</v>
      </c>
      <c r="I60" s="65">
        <f>SUM(I21:I59)</f>
        <v>5394620.392433255</v>
      </c>
      <c r="J60" s="123">
        <f>SUM(J21:J59)</f>
        <v>14295.744039948117</v>
      </c>
      <c r="K60" s="123">
        <f>SUM(K21:K59)</f>
        <v>14718.155091061584</v>
      </c>
      <c r="L60" s="81"/>
      <c r="M60" s="81"/>
      <c r="N60" s="81"/>
      <c r="O60" s="123">
        <f>SUM(O21:O59)</f>
        <v>719368</v>
      </c>
      <c r="P60" s="81">
        <f>SUM(P21:P59)</f>
        <v>734059.62000000011</v>
      </c>
      <c r="Q60" s="123">
        <f>SUM(Q21:Q59)</f>
        <v>14691.619999999986</v>
      </c>
      <c r="R60" s="130">
        <f>+Q60/O60</f>
        <v>2.0422954593476476E-2</v>
      </c>
      <c r="T60" s="149" t="s">
        <v>157</v>
      </c>
      <c r="U60" s="150"/>
      <c r="V60" s="150"/>
      <c r="W60" s="150"/>
    </row>
    <row r="61" spans="1:25">
      <c r="C61" s="73" t="s">
        <v>3</v>
      </c>
      <c r="D61" s="74">
        <f>D20+D60</f>
        <v>3583.2</v>
      </c>
      <c r="E61" s="74"/>
      <c r="F61" s="94">
        <f>F20+F60</f>
        <v>168352</v>
      </c>
      <c r="G61" s="74"/>
      <c r="H61" s="74">
        <f>H20+H60</f>
        <v>12525646</v>
      </c>
      <c r="I61" s="74">
        <f>I20+I60</f>
        <v>11398000.000000002</v>
      </c>
      <c r="J61" s="124">
        <f t="shared" ref="J61:K61" si="44">J20+J60</f>
        <v>30204.699999999993</v>
      </c>
      <c r="K61" s="124">
        <f t="shared" si="44"/>
        <v>31097.189333882419</v>
      </c>
      <c r="L61" s="83"/>
      <c r="M61" s="83"/>
      <c r="N61" s="83"/>
      <c r="O61" s="124">
        <f>O20+O60</f>
        <v>1419621.7599999998</v>
      </c>
      <c r="P61" s="124">
        <f>P20+P60</f>
        <v>1450677.0798074852</v>
      </c>
      <c r="Q61" s="124">
        <f>Q20+Q60</f>
        <v>31055.319807485197</v>
      </c>
      <c r="R61" s="137">
        <f>+Q61/O61</f>
        <v>2.1875770492194486E-2</v>
      </c>
      <c r="T61" s="150"/>
      <c r="U61" s="150"/>
      <c r="V61" s="150"/>
      <c r="W61" s="150"/>
    </row>
    <row r="62" spans="1:25">
      <c r="C62" s="73"/>
      <c r="D62" s="74"/>
      <c r="E62" s="74"/>
      <c r="F62" s="94"/>
      <c r="G62" s="74"/>
      <c r="H62" s="74"/>
      <c r="I62" s="74"/>
      <c r="J62" s="124"/>
      <c r="K62" s="124"/>
      <c r="L62" s="83"/>
      <c r="M62" s="83"/>
      <c r="N62" s="83"/>
      <c r="O62" s="124"/>
      <c r="P62" s="124"/>
      <c r="Q62" s="124"/>
      <c r="R62" s="137"/>
      <c r="T62" s="141"/>
      <c r="U62" s="141"/>
      <c r="V62" s="158"/>
      <c r="W62" s="141"/>
    </row>
    <row r="63" spans="1:25">
      <c r="C63" s="73"/>
      <c r="D63" s="74"/>
      <c r="E63" s="74"/>
      <c r="F63" s="94"/>
      <c r="G63" s="74"/>
      <c r="H63" s="74"/>
      <c r="I63" s="74"/>
      <c r="J63" s="124"/>
      <c r="K63" s="124"/>
      <c r="L63" s="83"/>
      <c r="M63" s="83"/>
      <c r="N63" s="83"/>
      <c r="O63" s="142"/>
      <c r="P63" s="142"/>
      <c r="Q63" s="124"/>
      <c r="R63" s="137"/>
      <c r="T63" s="141"/>
      <c r="U63" s="141"/>
      <c r="V63" s="158"/>
      <c r="W63" s="141"/>
    </row>
    <row r="64" spans="1:25">
      <c r="J64" s="122"/>
    </row>
    <row r="65" spans="1:16">
      <c r="A65" s="72"/>
      <c r="C65" s="75"/>
    </row>
    <row r="66" spans="1:16">
      <c r="A66" s="72"/>
      <c r="C66" s="146" t="s">
        <v>79</v>
      </c>
      <c r="D66" s="146"/>
      <c r="E66" s="89"/>
      <c r="F66" s="89"/>
      <c r="H66" s="92" t="s">
        <v>87</v>
      </c>
    </row>
    <row r="67" spans="1:16">
      <c r="A67" s="72"/>
      <c r="D67" s="66" t="s">
        <v>15</v>
      </c>
      <c r="E67" s="44"/>
      <c r="F67" s="44"/>
      <c r="H67" s="90" t="s">
        <v>88</v>
      </c>
      <c r="O67" s="40"/>
      <c r="P67" s="47"/>
    </row>
    <row r="68" spans="1:16">
      <c r="A68" s="72"/>
      <c r="C68" s="68" t="s">
        <v>29</v>
      </c>
      <c r="D68" s="76">
        <f>+D77</f>
        <v>5699</v>
      </c>
      <c r="G68" s="51"/>
      <c r="H68" s="91" t="s">
        <v>89</v>
      </c>
      <c r="O68" s="40"/>
      <c r="P68" s="93"/>
    </row>
    <row r="69" spans="1:16">
      <c r="A69" s="72"/>
      <c r="C69" s="68" t="s">
        <v>30</v>
      </c>
      <c r="D69" s="42">
        <f>D68*2000</f>
        <v>11398000</v>
      </c>
      <c r="E69" s="42"/>
      <c r="F69" s="42"/>
      <c r="G69" s="42"/>
      <c r="H69" s="100" t="s">
        <v>91</v>
      </c>
      <c r="O69" s="40"/>
      <c r="P69" s="93"/>
    </row>
    <row r="70" spans="1:16">
      <c r="A70" s="72"/>
      <c r="C70" s="68" t="s">
        <v>4</v>
      </c>
      <c r="D70" s="42">
        <f>F20+F60</f>
        <v>168352</v>
      </c>
      <c r="E70" s="67"/>
      <c r="F70" s="67"/>
      <c r="G70" s="67"/>
      <c r="H70" s="101" t="s">
        <v>92</v>
      </c>
      <c r="O70" s="40"/>
      <c r="P70" s="93"/>
    </row>
    <row r="71" spans="1:16">
      <c r="C71" s="48" t="s">
        <v>11</v>
      </c>
      <c r="D71" s="41">
        <f>D69/$H$61</f>
        <v>0.9099730265409065</v>
      </c>
      <c r="E71" s="41"/>
      <c r="F71" s="41"/>
      <c r="G71" s="41"/>
      <c r="H71" s="37"/>
      <c r="L71" s="46"/>
      <c r="N71" s="46"/>
      <c r="O71" s="40"/>
      <c r="P71" s="45"/>
    </row>
    <row r="72" spans="1:16">
      <c r="G72" s="50"/>
      <c r="H72" s="38"/>
      <c r="L72" s="49"/>
      <c r="N72" s="36"/>
      <c r="P72" s="37"/>
    </row>
    <row r="73" spans="1:16">
      <c r="D73" s="40"/>
      <c r="E73" s="39"/>
      <c r="G73" s="50"/>
      <c r="H73" s="38"/>
      <c r="L73" s="49"/>
      <c r="N73" s="36"/>
      <c r="P73" s="37"/>
    </row>
    <row r="74" spans="1:16">
      <c r="B74" s="131" t="s">
        <v>124</v>
      </c>
      <c r="D74" s="40"/>
      <c r="E74" s="39"/>
      <c r="G74" s="50"/>
      <c r="H74" s="38"/>
      <c r="L74" s="49"/>
      <c r="N74" s="36"/>
      <c r="P74" s="37"/>
    </row>
    <row r="75" spans="1:16">
      <c r="C75" s="68" t="s">
        <v>12</v>
      </c>
      <c r="D75" s="67">
        <v>1936</v>
      </c>
      <c r="I75" s="68"/>
    </row>
    <row r="76" spans="1:16" ht="17.25">
      <c r="C76" s="68" t="s">
        <v>13</v>
      </c>
      <c r="D76" s="118">
        <v>3763</v>
      </c>
      <c r="E76" s="47"/>
      <c r="I76" s="68"/>
    </row>
    <row r="77" spans="1:16" ht="17.25">
      <c r="D77" s="119">
        <f>SUM(D75:D76)</f>
        <v>5699</v>
      </c>
      <c r="I77" s="68"/>
    </row>
    <row r="78" spans="1:16">
      <c r="D78" s="68"/>
      <c r="I78" s="68"/>
    </row>
    <row r="79" spans="1:16" ht="17.25">
      <c r="C79" s="68" t="s">
        <v>142</v>
      </c>
      <c r="D79" s="118">
        <v>2561</v>
      </c>
    </row>
    <row r="81" spans="4:4" ht="17.25">
      <c r="D81" s="132">
        <f>+D79+D77</f>
        <v>8260</v>
      </c>
    </row>
  </sheetData>
  <mergeCells count="5">
    <mergeCell ref="C66:D66"/>
    <mergeCell ref="A3:A17"/>
    <mergeCell ref="A21:A59"/>
    <mergeCell ref="T60:W61"/>
    <mergeCell ref="T2:V2"/>
  </mergeCells>
  <phoneticPr fontId="65" type="noConversion"/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2021-09-13T07:00:00+00:00</OpenedDate>
    <SignificantOrder xmlns="dc463f71-b30c-4ab2-9473-d307f9d35888">false</SignificantOrder>
    <Date1 xmlns="dc463f71-b30c-4ab2-9473-d307f9d35888">2021-09-13T07:00:00+00:00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210703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84642F6BE4A34E80A5E984A5448D76" ma:contentTypeVersion="44" ma:contentTypeDescription="" ma:contentTypeScope="" ma:versionID="22cd6dcc05a07ee218c9c2f43f6f22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7946F6-253B-40F3-ADF9-DBD760147FC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5A2711-46BE-4B9C-AD2D-AAB9A6601DF8}"/>
</file>

<file path=customXml/itemProps4.xml><?xml version="1.0" encoding="utf-8"?>
<ds:datastoreItem xmlns:ds="http://schemas.openxmlformats.org/officeDocument/2006/customXml" ds:itemID="{CB57E095-C185-40AF-9531-FD7A662E8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Weinstein, Mike</cp:lastModifiedBy>
  <cp:lastPrinted>2016-06-27T17:35:33Z</cp:lastPrinted>
  <dcterms:created xsi:type="dcterms:W3CDTF">2013-10-29T22:33:54Z</dcterms:created>
  <dcterms:modified xsi:type="dcterms:W3CDTF">2021-09-13T15:30:54Z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0x0101006E56B4D1795A2E4DB2F0B01679ED314A00E084642F6BE4A34E80A5E984A5448D76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