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externalLinks/externalLink1.xml" ContentType="application/vnd.openxmlformats-officedocument.spreadsheetml.externalLink+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comments2.xml" ContentType="application/vnd.openxmlformats-officedocument.spreadsheetml.comments+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4026"/>
  <workbookPr defaultThemeVersion="124226"/>
  <mc:AlternateContent xmlns:mc="http://schemas.openxmlformats.org/markup-compatibility/2006">
    <mc:Choice Requires="x15">
      <x15ac:absPath xmlns:x15ac="http://schemas.microsoft.com/office/spreadsheetml/2010/11/ac" url="C:\Client Data\Sound Disposal\Commodity Credit Filing 8-20\"/>
    </mc:Choice>
  </mc:AlternateContent>
  <xr:revisionPtr revIDLastSave="0" documentId="8_{873EB8C5-3804-4FC0-9738-0986F1DF3414}" xr6:coauthVersionLast="47" xr6:coauthVersionMax="47" xr10:uidLastSave="{00000000-0000-0000-0000-000000000000}"/>
  <bookViews>
    <workbookView xWindow="-27885" yWindow="1725" windowWidth="27645" windowHeight="12225"/>
  </bookViews>
  <sheets>
    <sheet name="2021 Staff Analysis" sheetId="8" r:id="rId1"/>
    <sheet name="2020 WORKING COPY " sheetId="4" r:id="rId2"/>
    <sheet name="WUTC-Projections" sheetId="5" r:id="rId3"/>
    <sheet name="2020 CONFIDENTIAL" sheetId="6" r:id="rId4"/>
    <sheet name="2020 REDACTED" sheetId="7" r:id="rId5"/>
  </sheets>
  <externalReferences>
    <externalReference r:id="rId6"/>
    <externalReference r:id="rId7"/>
    <externalReference r:id="rId8"/>
    <externalReference r:id="rId9"/>
    <externalReference r:id="rId10"/>
  </externalReferences>
  <calcPr calcId="181029" iterate="1"/>
</workbook>
</file>

<file path=xl/calcChain.xml><?xml version="1.0" encoding="utf-8"?>
<calcChain xmlns="http://schemas.openxmlformats.org/spreadsheetml/2006/main">
  <c r="F51" i="7" l="1"/>
  <c r="J45" i="7"/>
  <c r="J44" i="7"/>
  <c r="G57" i="7"/>
  <c r="D40" i="7"/>
  <c r="F41" i="7"/>
  <c r="D37" i="7"/>
  <c r="D34" i="7"/>
  <c r="D33" i="7"/>
  <c r="D32" i="7"/>
  <c r="D35" i="7"/>
  <c r="F37" i="7"/>
  <c r="M24" i="7"/>
  <c r="L24" i="7"/>
  <c r="K24" i="7"/>
  <c r="G24" i="7"/>
  <c r="F24" i="7"/>
  <c r="L23" i="7"/>
  <c r="K23" i="7"/>
  <c r="F23" i="7"/>
  <c r="B23" i="7"/>
  <c r="M22" i="7"/>
  <c r="L22" i="7"/>
  <c r="K22" i="7"/>
  <c r="J22" i="7"/>
  <c r="I22" i="7"/>
  <c r="H22" i="7"/>
  <c r="G22" i="7"/>
  <c r="F22" i="7"/>
  <c r="E22" i="7"/>
  <c r="D22" i="7"/>
  <c r="C22" i="7"/>
  <c r="B22" i="7"/>
  <c r="G21" i="7"/>
  <c r="F21" i="7"/>
  <c r="K20" i="7"/>
  <c r="K25" i="7"/>
  <c r="K41" i="7"/>
  <c r="J20" i="7"/>
  <c r="C20" i="7"/>
  <c r="N17" i="7"/>
  <c r="N16" i="7"/>
  <c r="N15" i="7"/>
  <c r="N14" i="7"/>
  <c r="N13" i="7"/>
  <c r="M10" i="7"/>
  <c r="M23" i="7"/>
  <c r="L10" i="7"/>
  <c r="J10" i="7"/>
  <c r="I10" i="7"/>
  <c r="I24" i="7"/>
  <c r="H10" i="7"/>
  <c r="G10" i="7"/>
  <c r="G23" i="7"/>
  <c r="F10" i="7"/>
  <c r="E10" i="7"/>
  <c r="D10" i="7"/>
  <c r="D24" i="7"/>
  <c r="C10" i="7"/>
  <c r="C24" i="7"/>
  <c r="B10" i="7"/>
  <c r="M9" i="7"/>
  <c r="L9" i="7"/>
  <c r="J9" i="7"/>
  <c r="I9" i="7"/>
  <c r="H9" i="7"/>
  <c r="G9" i="7"/>
  <c r="F9" i="7"/>
  <c r="E9" i="7"/>
  <c r="D9" i="7"/>
  <c r="C9" i="7"/>
  <c r="B9" i="7"/>
  <c r="N8" i="7"/>
  <c r="N7" i="7"/>
  <c r="M6" i="7"/>
  <c r="M20" i="7"/>
  <c r="M25" i="7"/>
  <c r="K43" i="7"/>
  <c r="L6" i="7"/>
  <c r="L20" i="7"/>
  <c r="L25" i="7"/>
  <c r="K42" i="7"/>
  <c r="K6" i="7"/>
  <c r="J6" i="7"/>
  <c r="I6" i="7"/>
  <c r="I20" i="7"/>
  <c r="H6" i="7"/>
  <c r="H20" i="7"/>
  <c r="G6" i="7"/>
  <c r="G20" i="7"/>
  <c r="F6" i="7"/>
  <c r="F20" i="7"/>
  <c r="E6" i="7"/>
  <c r="E20" i="7"/>
  <c r="D6" i="7"/>
  <c r="D20" i="7"/>
  <c r="C6" i="7"/>
  <c r="B6" i="7"/>
  <c r="N6" i="7"/>
  <c r="H24" i="4"/>
  <c r="B24" i="4"/>
  <c r="D37" i="4"/>
  <c r="N17" i="4"/>
  <c r="L24" i="4"/>
  <c r="K24" i="4"/>
  <c r="N8" i="4"/>
  <c r="N7" i="4"/>
  <c r="M9" i="4"/>
  <c r="L9" i="4"/>
  <c r="J9" i="4"/>
  <c r="I9" i="4"/>
  <c r="H9" i="4"/>
  <c r="G9" i="4"/>
  <c r="F9" i="4"/>
  <c r="E9" i="4"/>
  <c r="D9" i="4"/>
  <c r="C9" i="4"/>
  <c r="B9" i="4"/>
  <c r="N9" i="4"/>
  <c r="K6" i="4"/>
  <c r="N14" i="4"/>
  <c r="G21" i="4"/>
  <c r="F21" i="4"/>
  <c r="F6" i="4"/>
  <c r="L6" i="4"/>
  <c r="M6" i="4"/>
  <c r="J6" i="4"/>
  <c r="I6" i="4"/>
  <c r="H6" i="4"/>
  <c r="H20" i="4"/>
  <c r="G6" i="4"/>
  <c r="E6" i="4"/>
  <c r="D6" i="4"/>
  <c r="D6" i="6"/>
  <c r="C6" i="4"/>
  <c r="C6" i="6"/>
  <c r="B6" i="4"/>
  <c r="N6" i="4"/>
  <c r="N6" i="6"/>
  <c r="B10" i="4"/>
  <c r="B23" i="4"/>
  <c r="C10" i="4"/>
  <c r="C24" i="4"/>
  <c r="D10" i="4"/>
  <c r="E10" i="4"/>
  <c r="E24" i="4"/>
  <c r="F10" i="4"/>
  <c r="F24" i="4"/>
  <c r="G10" i="4"/>
  <c r="H10" i="4"/>
  <c r="H8" i="6"/>
  <c r="I10" i="4"/>
  <c r="I24" i="4"/>
  <c r="I23" i="4"/>
  <c r="J10" i="4"/>
  <c r="J24" i="4"/>
  <c r="M10" i="4"/>
  <c r="L10" i="4"/>
  <c r="L23" i="4"/>
  <c r="L19" i="6"/>
  <c r="D32" i="4"/>
  <c r="D33" i="4"/>
  <c r="D34" i="4"/>
  <c r="D40" i="4"/>
  <c r="C12" i="8" s="1"/>
  <c r="AN49" i="8"/>
  <c r="AM49" i="8"/>
  <c r="AN48" i="8"/>
  <c r="AM48" i="8"/>
  <c r="AO15" i="8"/>
  <c r="AO23" i="8"/>
  <c r="BM47" i="8"/>
  <c r="BM55" i="8"/>
  <c r="BG47" i="8"/>
  <c r="BG55" i="8"/>
  <c r="BK44" i="8"/>
  <c r="BM44" i="8"/>
  <c r="BE44" i="8"/>
  <c r="BK43" i="8"/>
  <c r="BM43" i="8"/>
  <c r="BM45" i="8"/>
  <c r="BM49" i="8"/>
  <c r="BE43" i="8"/>
  <c r="BG43" i="8"/>
  <c r="BQ33" i="8"/>
  <c r="BI33" i="8"/>
  <c r="BC33" i="8"/>
  <c r="AV28" i="8"/>
  <c r="AP28" i="8"/>
  <c r="AJ28" i="8"/>
  <c r="AD28" i="8"/>
  <c r="X28" i="8"/>
  <c r="W24" i="8"/>
  <c r="X25" i="8"/>
  <c r="X27" i="8"/>
  <c r="X29" i="8"/>
  <c r="V34" i="8"/>
  <c r="W23" i="8"/>
  <c r="BS15" i="8"/>
  <c r="BS23" i="8"/>
  <c r="BM15" i="8"/>
  <c r="BM23" i="8"/>
  <c r="BG15" i="8"/>
  <c r="BA15" i="8"/>
  <c r="AU15" i="8"/>
  <c r="AU23" i="8"/>
  <c r="AI15" i="8"/>
  <c r="AI23" i="8"/>
  <c r="AC15" i="8"/>
  <c r="AC23" i="8"/>
  <c r="W15" i="8"/>
  <c r="Q15" i="8"/>
  <c r="Q23" i="8"/>
  <c r="U13" i="8"/>
  <c r="W19" i="8"/>
  <c r="BQ12" i="8"/>
  <c r="BS12" i="8"/>
  <c r="BK12" i="8"/>
  <c r="BM12" i="8"/>
  <c r="BE12" i="8"/>
  <c r="BE13" i="8"/>
  <c r="AY12" i="8"/>
  <c r="AS12" i="8"/>
  <c r="AM12" i="8"/>
  <c r="AG12" i="8"/>
  <c r="AA12" i="8"/>
  <c r="O12" i="8"/>
  <c r="BQ11" i="8"/>
  <c r="BS11" i="8"/>
  <c r="BK11" i="8"/>
  <c r="BK13" i="8"/>
  <c r="BM19" i="8"/>
  <c r="BM24" i="8"/>
  <c r="BM11" i="8"/>
  <c r="BM13" i="8"/>
  <c r="BF11" i="8"/>
  <c r="BE11" i="8"/>
  <c r="BG11" i="8"/>
  <c r="AY11" i="8"/>
  <c r="AS11" i="8"/>
  <c r="AM11" i="8"/>
  <c r="AG11" i="8"/>
  <c r="AG13" i="8"/>
  <c r="AI19" i="8"/>
  <c r="AI24" i="8"/>
  <c r="AJ25" i="8"/>
  <c r="AB12" i="8"/>
  <c r="AA11" i="8"/>
  <c r="O11" i="8"/>
  <c r="BI1" i="8"/>
  <c r="BC1" i="8"/>
  <c r="BO1" i="8"/>
  <c r="BS13" i="8"/>
  <c r="BS17" i="8"/>
  <c r="I13" i="8"/>
  <c r="K19" i="8"/>
  <c r="L21" i="8"/>
  <c r="O13" i="8"/>
  <c r="P12" i="8"/>
  <c r="AM13" i="8"/>
  <c r="AO19" i="8"/>
  <c r="AO24" i="8"/>
  <c r="AP25" i="8"/>
  <c r="AH12" i="8"/>
  <c r="AB11" i="8"/>
  <c r="BG19" i="8"/>
  <c r="BG24" i="8"/>
  <c r="U39" i="8"/>
  <c r="BA23" i="8"/>
  <c r="AY13" i="8"/>
  <c r="BA19" i="8"/>
  <c r="BA24" i="8"/>
  <c r="BG23" i="8"/>
  <c r="AI12" i="8"/>
  <c r="M20" i="4"/>
  <c r="L20" i="4"/>
  <c r="J20" i="4"/>
  <c r="I20" i="4"/>
  <c r="I25" i="4"/>
  <c r="I20" i="6"/>
  <c r="I17" i="6"/>
  <c r="H17" i="6"/>
  <c r="G20" i="4"/>
  <c r="F20" i="4"/>
  <c r="E20" i="4"/>
  <c r="N20" i="4"/>
  <c r="N17" i="6"/>
  <c r="D20" i="4"/>
  <c r="C20" i="4"/>
  <c r="B20" i="4"/>
  <c r="B25" i="4"/>
  <c r="B17" i="6"/>
  <c r="J17" i="6"/>
  <c r="G17" i="6"/>
  <c r="M13" i="6"/>
  <c r="L13" i="6"/>
  <c r="K13" i="6"/>
  <c r="J13" i="6"/>
  <c r="I13" i="6"/>
  <c r="H13" i="6"/>
  <c r="G13" i="6"/>
  <c r="F13" i="6"/>
  <c r="E13" i="6"/>
  <c r="D13" i="6"/>
  <c r="C13" i="6"/>
  <c r="B13" i="6"/>
  <c r="M12" i="6"/>
  <c r="L12" i="6"/>
  <c r="K12" i="6"/>
  <c r="J12" i="6"/>
  <c r="I12" i="6"/>
  <c r="H12" i="6"/>
  <c r="G12" i="6"/>
  <c r="F12" i="6"/>
  <c r="E12" i="6"/>
  <c r="D12" i="6"/>
  <c r="C12" i="6"/>
  <c r="B12" i="6"/>
  <c r="M11" i="6"/>
  <c r="L11" i="6"/>
  <c r="K11" i="6"/>
  <c r="J11" i="6"/>
  <c r="I11" i="6"/>
  <c r="H11" i="6"/>
  <c r="G11" i="6"/>
  <c r="F11" i="6"/>
  <c r="E11" i="6"/>
  <c r="D11" i="6"/>
  <c r="C11" i="6"/>
  <c r="B11" i="6"/>
  <c r="B8" i="6"/>
  <c r="M7" i="6"/>
  <c r="L7" i="6"/>
  <c r="K7" i="6"/>
  <c r="J7" i="6"/>
  <c r="I7" i="6"/>
  <c r="H7" i="6"/>
  <c r="G7" i="6"/>
  <c r="F7" i="6"/>
  <c r="E7" i="6"/>
  <c r="D7" i="6"/>
  <c r="C7" i="6"/>
  <c r="B7" i="6"/>
  <c r="M6" i="6"/>
  <c r="L6" i="6"/>
  <c r="J6" i="6"/>
  <c r="I6" i="6"/>
  <c r="H6" i="6"/>
  <c r="G6" i="6"/>
  <c r="F6" i="6"/>
  <c r="E6" i="6"/>
  <c r="B6" i="6"/>
  <c r="M5" i="6"/>
  <c r="L5" i="6"/>
  <c r="K5" i="6"/>
  <c r="J5" i="6"/>
  <c r="I5" i="6"/>
  <c r="H5" i="6"/>
  <c r="G5" i="6"/>
  <c r="F5" i="6"/>
  <c r="E5" i="6"/>
  <c r="D5" i="6"/>
  <c r="C5" i="6"/>
  <c r="B5" i="6"/>
  <c r="J29" i="6"/>
  <c r="J28" i="6"/>
  <c r="J27" i="6"/>
  <c r="J44" i="4"/>
  <c r="G57" i="4" s="1"/>
  <c r="N15" i="4"/>
  <c r="N12" i="6"/>
  <c r="N16" i="4"/>
  <c r="N13" i="6"/>
  <c r="N7" i="6"/>
  <c r="B19" i="6"/>
  <c r="M22" i="4"/>
  <c r="M18" i="6"/>
  <c r="L22" i="4"/>
  <c r="L18" i="6"/>
  <c r="K22" i="4"/>
  <c r="K18" i="6"/>
  <c r="J22" i="4"/>
  <c r="J18" i="6"/>
  <c r="I22" i="4"/>
  <c r="I18" i="6"/>
  <c r="H22" i="4"/>
  <c r="H18" i="6"/>
  <c r="G22" i="4"/>
  <c r="G18" i="6"/>
  <c r="F22" i="4"/>
  <c r="F18" i="6"/>
  <c r="E22" i="4"/>
  <c r="E18" i="6"/>
  <c r="D22" i="4"/>
  <c r="D18" i="6"/>
  <c r="C22" i="4"/>
  <c r="C18" i="6"/>
  <c r="B22" i="4"/>
  <c r="B18" i="6"/>
  <c r="K23" i="4"/>
  <c r="K19" i="6"/>
  <c r="K8" i="6"/>
  <c r="C8" i="6"/>
  <c r="H23" i="4"/>
  <c r="A6" i="6"/>
  <c r="A2" i="6"/>
  <c r="A3" i="6"/>
  <c r="A5" i="6"/>
  <c r="N5" i="6"/>
  <c r="A7" i="6"/>
  <c r="A8" i="6"/>
  <c r="A10" i="6"/>
  <c r="A11" i="6"/>
  <c r="A12" i="6"/>
  <c r="A13" i="6"/>
  <c r="A16" i="6"/>
  <c r="A17" i="6"/>
  <c r="A18" i="6"/>
  <c r="A19" i="6"/>
  <c r="A20" i="6"/>
  <c r="A23" i="6"/>
  <c r="I23" i="6"/>
  <c r="A24" i="6"/>
  <c r="I25" i="6"/>
  <c r="J25" i="6"/>
  <c r="K25" i="6"/>
  <c r="A27" i="6"/>
  <c r="A28" i="6"/>
  <c r="A29" i="6"/>
  <c r="B30" i="6"/>
  <c r="I30" i="6"/>
  <c r="J30" i="6"/>
  <c r="I31" i="6"/>
  <c r="J31" i="6"/>
  <c r="A32" i="6"/>
  <c r="I32" i="6"/>
  <c r="J32" i="6"/>
  <c r="I33" i="6"/>
  <c r="J33" i="6"/>
  <c r="I34" i="6"/>
  <c r="J34" i="6"/>
  <c r="A35" i="6"/>
  <c r="I35" i="6"/>
  <c r="J35" i="6"/>
  <c r="A36" i="6"/>
  <c r="D36" i="6"/>
  <c r="I36" i="6"/>
  <c r="J36" i="6"/>
  <c r="I37" i="6"/>
  <c r="J37" i="6"/>
  <c r="A38" i="6"/>
  <c r="I38" i="6"/>
  <c r="J38" i="6"/>
  <c r="A39" i="6"/>
  <c r="I39" i="6"/>
  <c r="I40" i="6"/>
  <c r="A41" i="6"/>
  <c r="A43" i="6"/>
  <c r="A45" i="6"/>
  <c r="A46" i="6"/>
  <c r="A47" i="6"/>
  <c r="A48" i="6"/>
  <c r="A50" i="6"/>
  <c r="A51" i="6"/>
  <c r="A52" i="6"/>
  <c r="G53" i="6"/>
  <c r="A54" i="6"/>
  <c r="A55" i="6"/>
  <c r="A56" i="6"/>
  <c r="A1" i="6"/>
  <c r="D29" i="6"/>
  <c r="D27" i="6"/>
  <c r="N13" i="4"/>
  <c r="N11" i="6"/>
  <c r="D35" i="6"/>
  <c r="D35" i="4"/>
  <c r="F8" i="6"/>
  <c r="E8" i="6"/>
  <c r="L8" i="6"/>
  <c r="D28" i="6"/>
  <c r="I19" i="6"/>
  <c r="I8" i="6"/>
  <c r="J8" i="6"/>
  <c r="N22" i="4"/>
  <c r="N18" i="6"/>
  <c r="F11" i="5"/>
  <c r="D32" i="6"/>
  <c r="K24" i="8"/>
  <c r="L25" i="8"/>
  <c r="D12" i="8"/>
  <c r="AS13" i="8"/>
  <c r="AU19" i="8"/>
  <c r="AU24" i="8"/>
  <c r="BB25" i="8"/>
  <c r="AT12" i="8"/>
  <c r="AU12" i="8"/>
  <c r="BN25" i="8"/>
  <c r="BF12" i="8"/>
  <c r="F43" i="7"/>
  <c r="C23" i="7"/>
  <c r="I23" i="7"/>
  <c r="B24" i="7"/>
  <c r="D23" i="7"/>
  <c r="L27" i="8"/>
  <c r="G11" i="5"/>
  <c r="D25" i="7"/>
  <c r="K34" i="7"/>
  <c r="BG12" i="8"/>
  <c r="BG13" i="8"/>
  <c r="BG17" i="8"/>
  <c r="AZ11" i="8"/>
  <c r="H11" i="5"/>
  <c r="E17" i="6"/>
  <c r="BN27" i="8"/>
  <c r="J11" i="8"/>
  <c r="K11" i="8"/>
  <c r="Q12" i="8"/>
  <c r="AV25" i="8"/>
  <c r="AN12" i="8"/>
  <c r="M24" i="4"/>
  <c r="M23" i="4"/>
  <c r="M19" i="6"/>
  <c r="M8" i="6"/>
  <c r="N10" i="4"/>
  <c r="N8" i="6"/>
  <c r="AN11" i="8"/>
  <c r="AO11" i="8"/>
  <c r="B20" i="7"/>
  <c r="C11" i="8"/>
  <c r="D30" i="6"/>
  <c r="F37" i="4"/>
  <c r="L25" i="4"/>
  <c r="L17" i="6"/>
  <c r="BG30" i="8"/>
  <c r="BH25" i="8"/>
  <c r="Q19" i="8"/>
  <c r="Q24" i="8"/>
  <c r="R25" i="8"/>
  <c r="J12" i="8"/>
  <c r="AA13" i="8"/>
  <c r="AC19" i="8"/>
  <c r="AC24" i="8"/>
  <c r="AD25" i="8"/>
  <c r="V12" i="8"/>
  <c r="AC11" i="8"/>
  <c r="BA11" i="8"/>
  <c r="BM17" i="8"/>
  <c r="BN21" i="8"/>
  <c r="H24" i="7"/>
  <c r="H25" i="7"/>
  <c r="K38" i="7"/>
  <c r="H23" i="7"/>
  <c r="H25" i="4"/>
  <c r="H19" i="6"/>
  <c r="V11" i="8"/>
  <c r="W11" i="8"/>
  <c r="AC12" i="8"/>
  <c r="B20" i="6"/>
  <c r="F17" i="6"/>
  <c r="M25" i="4"/>
  <c r="G24" i="4"/>
  <c r="G8" i="6"/>
  <c r="D8" i="6"/>
  <c r="D23" i="4"/>
  <c r="D19" i="6"/>
  <c r="F25" i="7"/>
  <c r="K36" i="7"/>
  <c r="E23" i="7"/>
  <c r="E24" i="7"/>
  <c r="N24" i="7"/>
  <c r="G23" i="4"/>
  <c r="C17" i="6"/>
  <c r="BK45" i="8"/>
  <c r="BM51" i="8"/>
  <c r="BM56" i="8"/>
  <c r="BN57" i="8"/>
  <c r="BQ13" i="8"/>
  <c r="BS19" i="8"/>
  <c r="BS24" i="8"/>
  <c r="BT25" i="8"/>
  <c r="D24" i="4"/>
  <c r="I25" i="7"/>
  <c r="K39" i="7"/>
  <c r="N10" i="7"/>
  <c r="J24" i="7"/>
  <c r="J23" i="7"/>
  <c r="J25" i="7"/>
  <c r="K40" i="7"/>
  <c r="C25" i="7"/>
  <c r="K33" i="7"/>
  <c r="K39" i="4"/>
  <c r="K34" i="6"/>
  <c r="K32" i="4"/>
  <c r="M17" i="6"/>
  <c r="D25" i="4"/>
  <c r="D17" i="6"/>
  <c r="K20" i="4"/>
  <c r="K6" i="6"/>
  <c r="G25" i="7"/>
  <c r="K37" i="7"/>
  <c r="N9" i="7"/>
  <c r="N22" i="7"/>
  <c r="BE45" i="8"/>
  <c r="BG51" i="8"/>
  <c r="BG56" i="8"/>
  <c r="BH57" i="8"/>
  <c r="E23" i="4"/>
  <c r="E19" i="6"/>
  <c r="C23" i="4"/>
  <c r="C25" i="4"/>
  <c r="J23" i="4"/>
  <c r="F23" i="4"/>
  <c r="F19" i="6"/>
  <c r="C20" i="6"/>
  <c r="K33" i="4"/>
  <c r="BF44" i="8"/>
  <c r="BG44" i="8"/>
  <c r="BG45" i="8"/>
  <c r="BG49" i="8"/>
  <c r="BH53" i="8"/>
  <c r="BH59" i="8"/>
  <c r="P11" i="8"/>
  <c r="Q11" i="8"/>
  <c r="Q13" i="8"/>
  <c r="Q17" i="8"/>
  <c r="R21" i="8"/>
  <c r="R27" i="8"/>
  <c r="W12" i="8"/>
  <c r="W13" i="8"/>
  <c r="W17" i="8"/>
  <c r="J19" i="6"/>
  <c r="J25" i="4"/>
  <c r="N24" i="4"/>
  <c r="K38" i="4"/>
  <c r="K33" i="6"/>
  <c r="H20" i="6"/>
  <c r="K12" i="8"/>
  <c r="K13" i="8"/>
  <c r="D11" i="8"/>
  <c r="E11" i="8"/>
  <c r="BN53" i="8"/>
  <c r="BN59" i="8"/>
  <c r="K43" i="4"/>
  <c r="M20" i="6"/>
  <c r="AH11" i="8"/>
  <c r="AI11" i="8"/>
  <c r="AI13" i="8"/>
  <c r="AI17" i="8"/>
  <c r="AJ21" i="8"/>
  <c r="AJ27" i="8"/>
  <c r="AJ29" i="8"/>
  <c r="AO12" i="8"/>
  <c r="N23" i="4"/>
  <c r="N19" i="6"/>
  <c r="C19" i="6"/>
  <c r="K25" i="4"/>
  <c r="K17" i="6"/>
  <c r="K27" i="6"/>
  <c r="K36" i="6"/>
  <c r="BT27" i="8"/>
  <c r="G19" i="6"/>
  <c r="G25" i="4"/>
  <c r="E25" i="7"/>
  <c r="K35" i="7"/>
  <c r="F25" i="4"/>
  <c r="K42" i="4"/>
  <c r="L20" i="6"/>
  <c r="B25" i="7"/>
  <c r="N20" i="7"/>
  <c r="BT21" i="8"/>
  <c r="K34" i="4"/>
  <c r="D20" i="6"/>
  <c r="E25" i="4"/>
  <c r="N25" i="4"/>
  <c r="AC13" i="8"/>
  <c r="AC17" i="8"/>
  <c r="AD21" i="8"/>
  <c r="AD27" i="8"/>
  <c r="AD29" i="8"/>
  <c r="AZ12" i="8"/>
  <c r="F32" i="6"/>
  <c r="AO13" i="8"/>
  <c r="AO17" i="8"/>
  <c r="AP21" i="8"/>
  <c r="AP27" i="8"/>
  <c r="AP29" i="8"/>
  <c r="N23" i="7"/>
  <c r="BH21" i="8"/>
  <c r="BH27" i="8"/>
  <c r="BG29" i="8"/>
  <c r="BH30" i="8"/>
  <c r="BB28" i="8"/>
  <c r="G56" i="4"/>
  <c r="E15" i="8"/>
  <c r="F44" i="4"/>
  <c r="N20" i="6"/>
  <c r="K38" i="6"/>
  <c r="K29" i="6"/>
  <c r="AT11" i="8"/>
  <c r="AU11" i="8"/>
  <c r="AU13" i="8"/>
  <c r="AU17" i="8"/>
  <c r="AV21" i="8"/>
  <c r="AV27" i="8"/>
  <c r="AV29" i="8"/>
  <c r="BA12" i="8"/>
  <c r="BA13" i="8"/>
  <c r="BA17" i="8"/>
  <c r="BB21" i="8"/>
  <c r="BB27" i="8"/>
  <c r="BB29" i="8"/>
  <c r="F20" i="6"/>
  <c r="K36" i="4"/>
  <c r="K31" i="6"/>
  <c r="J20" i="6"/>
  <c r="K40" i="4"/>
  <c r="K35" i="6"/>
  <c r="K37" i="4"/>
  <c r="K32" i="6"/>
  <c r="G20" i="6"/>
  <c r="K37" i="6"/>
  <c r="K28" i="6"/>
  <c r="K20" i="6"/>
  <c r="K41" i="4"/>
  <c r="K35" i="4"/>
  <c r="K30" i="6"/>
  <c r="E20" i="6"/>
  <c r="N25" i="7"/>
  <c r="K32" i="7"/>
  <c r="K44" i="7"/>
  <c r="K44" i="4"/>
  <c r="F39" i="6"/>
  <c r="H15" i="5"/>
  <c r="F44" i="7"/>
  <c r="F46" i="7"/>
  <c r="G56" i="7"/>
  <c r="G59" i="7"/>
  <c r="E23" i="8"/>
  <c r="K45" i="7"/>
  <c r="L45" i="7"/>
  <c r="L44" i="7"/>
  <c r="G51" i="6"/>
  <c r="H24" i="5"/>
  <c r="F52" i="7"/>
  <c r="F53" i="7"/>
  <c r="G60" i="7"/>
  <c r="G61" i="7"/>
  <c r="F50" i="7"/>
  <c r="K45" i="4"/>
  <c r="K39" i="6"/>
  <c r="K40" i="6"/>
  <c r="L44" i="4" l="1"/>
  <c r="L39" i="6" s="1"/>
  <c r="J45" i="4"/>
  <c r="L45" i="4" s="1"/>
  <c r="L40" i="6" s="1"/>
  <c r="J39" i="6"/>
  <c r="F41" i="4"/>
  <c r="G52" i="6"/>
  <c r="H19" i="5"/>
  <c r="G59" i="4"/>
  <c r="H25" i="5"/>
  <c r="I26" i="5" s="1"/>
  <c r="C13" i="8"/>
  <c r="E12" i="8"/>
  <c r="E13" i="8" s="1"/>
  <c r="E17" i="8" s="1"/>
  <c r="F12" i="5"/>
  <c r="F51" i="4"/>
  <c r="F46" i="6" s="1"/>
  <c r="J40" i="6" l="1"/>
  <c r="F43" i="4"/>
  <c r="F36" i="6"/>
  <c r="G54" i="6"/>
  <c r="E19" i="8"/>
  <c r="F21" i="8" s="1"/>
  <c r="E24" i="8"/>
  <c r="F25" i="8" s="1"/>
  <c r="G12" i="5" s="1"/>
  <c r="H12" i="5" s="1"/>
  <c r="H13" i="5" s="1"/>
  <c r="H17" i="5" s="1"/>
  <c r="I21" i="5" s="1"/>
  <c r="I28" i="5" s="1"/>
  <c r="F13" i="5"/>
  <c r="F46" i="4" l="1"/>
  <c r="F38" i="6"/>
  <c r="F27" i="8"/>
  <c r="F41" i="6" l="1"/>
  <c r="F50" i="4"/>
  <c r="F45" i="6" s="1"/>
  <c r="F52" i="4"/>
  <c r="F53" i="4" l="1"/>
  <c r="F47" i="6"/>
  <c r="F48" i="6" l="1"/>
  <c r="G60" i="4"/>
  <c r="G55" i="6" l="1"/>
  <c r="G61" i="4"/>
  <c r="G56" i="6" s="1"/>
</calcChain>
</file>

<file path=xl/comments1.xml><?xml version="1.0" encoding="utf-8"?>
<comments xmlns="http://schemas.openxmlformats.org/spreadsheetml/2006/main">
  <authors>
    <author>Hammond, Greg (UTC)</author>
    <author>Young, Mike (UTC)</author>
    <author>Mike Young</author>
  </authors>
  <commentList>
    <comment ref="J11" authorId="0" shapeId="0">
      <text>
        <r>
          <rPr>
            <b/>
            <sz val="9"/>
            <color indexed="81"/>
            <rFont val="Tahoma"/>
            <family val="2"/>
          </rPr>
          <t>Hammond, Greg (UTC):</t>
        </r>
        <r>
          <rPr>
            <sz val="9"/>
            <color indexed="81"/>
            <rFont val="Tahoma"/>
            <family val="2"/>
          </rPr>
          <t xml:space="preserve">
Company linked the wrong cell in its calculation. Used actual commodity credit in effect instead of the projected values from the prior calculation. See prior year calculations and cell links for reference.</t>
        </r>
      </text>
    </comment>
    <comment ref="P11" authorId="0" shapeId="0">
      <text>
        <r>
          <rPr>
            <b/>
            <sz val="9"/>
            <color indexed="81"/>
            <rFont val="Tahoma"/>
            <family val="2"/>
          </rPr>
          <t>Hammond, Greg (UTC):</t>
        </r>
        <r>
          <rPr>
            <sz val="9"/>
            <color indexed="81"/>
            <rFont val="Tahoma"/>
            <family val="2"/>
          </rPr>
          <t xml:space="preserve">
Company linked the wrong cell in its calculation. Used actual commodity credit in effect instead of the projected values from the prior calculation. See prior year calculations and cell links for reference.</t>
        </r>
      </text>
    </comment>
    <comment ref="K15" authorId="0" shapeId="0">
      <text>
        <r>
          <rPr>
            <b/>
            <sz val="9"/>
            <color indexed="81"/>
            <rFont val="Tahoma"/>
            <charset val="1"/>
          </rPr>
          <t>Hammond, Greg (UTC):</t>
        </r>
        <r>
          <rPr>
            <sz val="9"/>
            <color indexed="81"/>
            <rFont val="Tahoma"/>
            <charset val="1"/>
          </rPr>
          <t xml:space="preserve">
Updated per 2019 Working Copy V.3</t>
        </r>
      </text>
    </comment>
    <comment ref="Q15" authorId="0" shapeId="0">
      <text>
        <r>
          <rPr>
            <b/>
            <sz val="9"/>
            <color indexed="81"/>
            <rFont val="Tahoma"/>
            <charset val="1"/>
          </rPr>
          <t>Hammond, Greg (UTC):</t>
        </r>
        <r>
          <rPr>
            <sz val="9"/>
            <color indexed="81"/>
            <rFont val="Tahoma"/>
            <charset val="1"/>
          </rPr>
          <t xml:space="preserve">
Updated per 2019 Working Copy V.3</t>
        </r>
      </text>
    </comment>
    <comment ref="X21" authorId="0" shapeId="0">
      <text>
        <r>
          <rPr>
            <b/>
            <sz val="9"/>
            <color indexed="81"/>
            <rFont val="Tahoma"/>
            <charset val="1"/>
          </rPr>
          <t>Hammond, Greg (UTC):</t>
        </r>
        <r>
          <rPr>
            <sz val="9"/>
            <color indexed="81"/>
            <rFont val="Tahoma"/>
            <charset val="1"/>
          </rPr>
          <t xml:space="preserve">
Plugged to make agree with tariff amount in effect. Was (2.10)</t>
        </r>
      </text>
    </comment>
    <comment ref="AJ21" authorId="1" shapeId="0">
      <text>
        <r>
          <rPr>
            <b/>
            <sz val="9"/>
            <color indexed="81"/>
            <rFont val="Tahoma"/>
            <family val="2"/>
          </rPr>
          <t>Young, Mike (UTC):</t>
        </r>
        <r>
          <rPr>
            <sz val="9"/>
            <color indexed="81"/>
            <rFont val="Tahoma"/>
            <family val="2"/>
          </rPr>
          <t xml:space="preserve">
$0.01 difference from company. Staff will allow company's tariff as filed.</t>
        </r>
      </text>
    </comment>
    <comment ref="W23" authorId="0" shapeId="0">
      <text>
        <r>
          <rPr>
            <b/>
            <sz val="9"/>
            <color indexed="81"/>
            <rFont val="Tahoma"/>
            <family val="2"/>
          </rPr>
          <t>Hammond, Greg (UTC):</t>
        </r>
        <r>
          <rPr>
            <sz val="9"/>
            <color indexed="81"/>
            <rFont val="Tahoma"/>
            <family val="2"/>
          </rPr>
          <t xml:space="preserve">
Most recent 6 months of commodity revenue (cost)</t>
        </r>
      </text>
    </comment>
    <comment ref="W24" authorId="0" shapeId="0">
      <text>
        <r>
          <rPr>
            <b/>
            <sz val="9"/>
            <color indexed="81"/>
            <rFont val="Tahoma"/>
            <family val="2"/>
          </rPr>
          <t>Hammond, Greg (UTC):</t>
        </r>
        <r>
          <rPr>
            <sz val="9"/>
            <color indexed="81"/>
            <rFont val="Tahoma"/>
            <family val="2"/>
          </rPr>
          <t xml:space="preserve">
Most recent 6 month customer count (Oct 17- March 18)</t>
        </r>
      </text>
    </comment>
    <comment ref="BF43" authorId="2" shapeId="0">
      <text>
        <r>
          <rPr>
            <b/>
            <sz val="9"/>
            <color indexed="81"/>
            <rFont val="Tahoma"/>
            <family val="2"/>
          </rPr>
          <t>Mike Young:</t>
        </r>
        <r>
          <rPr>
            <sz val="9"/>
            <color indexed="81"/>
            <rFont val="Tahoma"/>
            <family val="2"/>
          </rPr>
          <t xml:space="preserve">
appears this was left in the spreadsheet in error</t>
        </r>
      </text>
    </comment>
  </commentList>
</comments>
</file>

<file path=xl/comments2.xml><?xml version="1.0" encoding="utf-8"?>
<comments xmlns="http://schemas.openxmlformats.org/spreadsheetml/2006/main">
  <authors>
    <author>Cassie Rewis</author>
    <author>Anna Taylor</author>
    <author>jerri</author>
  </authors>
  <commentList>
    <comment ref="A6" authorId="0" shapeId="0">
      <text>
        <r>
          <rPr>
            <b/>
            <sz val="9"/>
            <color indexed="81"/>
            <rFont val="Tahoma"/>
            <charset val="1"/>
          </rPr>
          <t>Cassie Rewis:</t>
        </r>
        <r>
          <rPr>
            <sz val="9"/>
            <color indexed="81"/>
            <rFont val="Tahoma"/>
            <charset val="1"/>
          </rPr>
          <t xml:space="preserve">
Waste Mgmt</t>
        </r>
      </text>
    </comment>
    <comment ref="A7" authorId="0" shapeId="0">
      <text>
        <r>
          <rPr>
            <b/>
            <sz val="9"/>
            <color indexed="81"/>
            <rFont val="Tahoma"/>
            <charset val="1"/>
          </rPr>
          <t>Cassie Rewis:</t>
        </r>
        <r>
          <rPr>
            <sz val="9"/>
            <color indexed="81"/>
            <rFont val="Tahoma"/>
            <charset val="1"/>
          </rPr>
          <t xml:space="preserve">
Alternative plan when WM shut down. DTG &amp; Snoho county</t>
        </r>
      </text>
    </comment>
    <comment ref="A8" authorId="1" shapeId="0">
      <text>
        <r>
          <rPr>
            <sz val="9"/>
            <color indexed="81"/>
            <rFont val="Tahoma"/>
            <family val="2"/>
          </rPr>
          <t xml:space="preserve">Cassie Rewis:
Cedar Grove organic recycling-haul bottles &amp; cans
</t>
        </r>
      </text>
    </comment>
    <comment ref="A10" authorId="0" shapeId="0">
      <text>
        <r>
          <rPr>
            <b/>
            <sz val="9"/>
            <color indexed="81"/>
            <rFont val="Tahoma"/>
            <family val="2"/>
          </rPr>
          <t>Cassie Rewis:</t>
        </r>
        <r>
          <rPr>
            <sz val="9"/>
            <color indexed="81"/>
            <rFont val="Tahoma"/>
            <family val="2"/>
          </rPr>
          <t xml:space="preserve">
Reclamation- payment for recycled material
curside &amp; multifamily
</t>
        </r>
      </text>
    </comment>
    <comment ref="A14" authorId="0" shapeId="0">
      <text>
        <r>
          <rPr>
            <b/>
            <sz val="9"/>
            <color indexed="81"/>
            <rFont val="Tahoma"/>
            <family val="2"/>
          </rPr>
          <t>Cassie Rewis:</t>
        </r>
        <r>
          <rPr>
            <sz val="9"/>
            <color indexed="81"/>
            <rFont val="Tahoma"/>
            <family val="2"/>
          </rPr>
          <t xml:space="preserve">
Cassie Rewis:
Alternative plan when WM shut down. DTG &amp; Snoho county</t>
        </r>
      </text>
    </comment>
    <comment ref="A15" authorId="1" shapeId="0">
      <text>
        <r>
          <rPr>
            <sz val="9"/>
            <color indexed="81"/>
            <rFont val="Tahoma"/>
            <family val="2"/>
          </rPr>
          <t xml:space="preserve">Cassie Rewis:
Cedar Grove organic recycling-haul charge
</t>
        </r>
      </text>
    </comment>
    <comment ref="A16" authorId="0" shapeId="0">
      <text>
        <r>
          <rPr>
            <b/>
            <sz val="9"/>
            <color indexed="81"/>
            <rFont val="Tahoma"/>
            <family val="2"/>
          </rPr>
          <t>Cassie Rewis:</t>
        </r>
        <r>
          <rPr>
            <sz val="9"/>
            <color indexed="81"/>
            <rFont val="Tahoma"/>
            <family val="2"/>
          </rPr>
          <t xml:space="preserve">
bailing cost plus or minus the amount we have to pay to dispose of product
</t>
        </r>
      </text>
    </comment>
    <comment ref="A22" authorId="1" shapeId="0">
      <text>
        <r>
          <rPr>
            <sz val="9"/>
            <color indexed="81"/>
            <rFont val="Tahoma"/>
            <family val="2"/>
          </rPr>
          <t xml:space="preserve">Cassie Rewis:
Cedar Grove organic recycling-haul charge
</t>
        </r>
      </text>
    </comment>
    <comment ref="J30" authorId="0" shapeId="0">
      <text>
        <r>
          <rPr>
            <b/>
            <sz val="9"/>
            <color indexed="81"/>
            <rFont val="Tahoma"/>
            <charset val="1"/>
          </rPr>
          <t>Cassie Rewis:</t>
        </r>
        <r>
          <rPr>
            <sz val="9"/>
            <color indexed="81"/>
            <rFont val="Tahoma"/>
            <charset val="1"/>
          </rPr>
          <t xml:space="preserve">
service can report bank rec</t>
        </r>
      </text>
    </comment>
    <comment ref="K41" authorId="2" shapeId="0">
      <text>
        <r>
          <rPr>
            <b/>
            <sz val="8"/>
            <color indexed="81"/>
            <rFont val="Tahoma"/>
            <family val="2"/>
          </rPr>
          <t>jerri:</t>
        </r>
        <r>
          <rPr>
            <sz val="8"/>
            <color indexed="81"/>
            <rFont val="Tahoma"/>
            <family val="2"/>
          </rPr>
          <t xml:space="preserve">
Projected credit from previous filing.
Moves to cell D32 next year.</t>
        </r>
      </text>
    </comment>
    <comment ref="L45" authorId="2" shapeId="0">
      <text>
        <r>
          <rPr>
            <b/>
            <sz val="8"/>
            <color indexed="81"/>
            <rFont val="Tahoma"/>
            <family val="2"/>
          </rPr>
          <t>jerri:</t>
        </r>
        <r>
          <rPr>
            <sz val="8"/>
            <color indexed="81"/>
            <rFont val="Tahoma"/>
            <family val="2"/>
          </rPr>
          <t xml:space="preserve">
Projected credit.
Moves to cell D36 next year.</t>
        </r>
      </text>
    </comment>
  </commentList>
</comments>
</file>

<file path=xl/comments3.xml><?xml version="1.0" encoding="utf-8"?>
<comments xmlns="http://schemas.openxmlformats.org/spreadsheetml/2006/main">
  <authors>
    <author>Cassie Rewis</author>
  </authors>
  <commentList>
    <comment ref="J30" authorId="0" shapeId="0">
      <text>
        <r>
          <rPr>
            <b/>
            <sz val="9"/>
            <color indexed="81"/>
            <rFont val="Tahoma"/>
            <charset val="1"/>
          </rPr>
          <t>Cassie Rewis:</t>
        </r>
        <r>
          <rPr>
            <sz val="9"/>
            <color indexed="81"/>
            <rFont val="Tahoma"/>
            <charset val="1"/>
          </rPr>
          <t xml:space="preserve">
service can report bank rec</t>
        </r>
      </text>
    </comment>
  </commentList>
</comments>
</file>

<file path=xl/sharedStrings.xml><?xml version="1.0" encoding="utf-8"?>
<sst xmlns="http://schemas.openxmlformats.org/spreadsheetml/2006/main" count="484" uniqueCount="145">
  <si>
    <t>RUBATINO REFUSE REMOVAL, INC.</t>
  </si>
  <si>
    <t>COMMODITY ADJUSTMENT</t>
  </si>
  <si>
    <t>TONS</t>
  </si>
  <si>
    <t>Mixed</t>
  </si>
  <si>
    <t>PRICE PER TON</t>
  </si>
  <si>
    <t>COMMODITY VALUE</t>
  </si>
  <si>
    <t>TOTAL VALUE</t>
  </si>
  <si>
    <t>Per customer commodity credit</t>
  </si>
  <si>
    <t>subtotal</t>
  </si>
  <si>
    <t>MONTH</t>
  </si>
  <si>
    <t># of Cust</t>
  </si>
  <si>
    <t>TOTAL</t>
  </si>
  <si>
    <t>12 month avg</t>
  </si>
  <si>
    <t>Commodity adjustment next 12 months</t>
  </si>
  <si>
    <t>12 month # of customers</t>
  </si>
  <si>
    <t>Adjusting factor prior year</t>
  </si>
  <si>
    <t>COMMODITY ADJUSTING FACTOR PER CUSTOMER</t>
  </si>
  <si>
    <t>Divide by 12 monthly factor adj per cust per month</t>
  </si>
  <si>
    <t>Most recent 12 month average number of customers</t>
  </si>
  <si>
    <t>Rubatino Refuse Removal</t>
  </si>
  <si>
    <t>Commodity Adjustment</t>
  </si>
  <si>
    <t>Based on previous UTC Staff Analyses</t>
  </si>
  <si>
    <t>Do not use cumulative method</t>
  </si>
  <si>
    <t>Customers</t>
  </si>
  <si>
    <t>Commodity</t>
  </si>
  <si>
    <t>Credit</t>
  </si>
  <si>
    <t>Total</t>
  </si>
  <si>
    <t>Apr-Jun projected value without adjustment factor</t>
  </si>
  <si>
    <t>Jul-Mar projected value without adjustment factor</t>
  </si>
  <si>
    <t>Total Actual Customers</t>
  </si>
  <si>
    <t>Total Customers</t>
  </si>
  <si>
    <t>CONFIDENTIAL PER WAC 480.07.160</t>
  </si>
  <si>
    <t>WORKPAPER ONLY</t>
  </si>
  <si>
    <t>CG-Mix Rec.</t>
  </si>
  <si>
    <t>Cost</t>
  </si>
  <si>
    <t>Total Over refunded customers</t>
  </si>
  <si>
    <t>Debit due per customer</t>
  </si>
  <si>
    <t>Debit due to customers</t>
  </si>
  <si>
    <t>12 month commodity cost</t>
  </si>
  <si>
    <t>Commodity debit on tariff page</t>
  </si>
  <si>
    <t>Debits</t>
  </si>
  <si>
    <t>Actual Commodity Cost</t>
  </si>
  <si>
    <t>Owed to Company (customer)</t>
  </si>
  <si>
    <t>Projected Cost</t>
  </si>
  <si>
    <t>Residential Commodity Adjustment (due from customer to company)</t>
  </si>
  <si>
    <t>Mixed Paper</t>
  </si>
  <si>
    <t>Bottles &amp; Cans</t>
  </si>
  <si>
    <t>CG-Mix Rec.-per load</t>
  </si>
  <si>
    <t>Commodity adjustment Apr 19 - Mar 20</t>
  </si>
  <si>
    <t>Rubatino Refuse Removal commodity adjustment</t>
  </si>
  <si>
    <t>Based on previous UTC Staff analyses</t>
  </si>
  <si>
    <t>per docket TG-180447</t>
  </si>
  <si>
    <t>per docket TG-170369</t>
  </si>
  <si>
    <t>per docket TG-160492</t>
  </si>
  <si>
    <t>per docket TG-150937</t>
  </si>
  <si>
    <t>per docket TG-140829</t>
  </si>
  <si>
    <t>per docket TG-130747</t>
  </si>
  <si>
    <t>per docket TG-120669</t>
  </si>
  <si>
    <t>per docket TG-110865</t>
  </si>
  <si>
    <t>per docket TG-100809</t>
  </si>
  <si>
    <t>2019-2020</t>
  </si>
  <si>
    <t>2018-2019</t>
  </si>
  <si>
    <t>2017-2018</t>
  </si>
  <si>
    <t>2016-2017</t>
  </si>
  <si>
    <t>2015-2016</t>
  </si>
  <si>
    <t>2014-2015</t>
  </si>
  <si>
    <t>2013-2014</t>
  </si>
  <si>
    <t>2012-2013</t>
  </si>
  <si>
    <t>2011-2012</t>
  </si>
  <si>
    <t>2010-2011</t>
  </si>
  <si>
    <t>Residential</t>
  </si>
  <si>
    <t>Note: In this workbook a positive value represents a credit, negative value represents debit</t>
  </si>
  <si>
    <t>Credits</t>
  </si>
  <si>
    <t>Projected Revenue April 2018 - March 2019</t>
  </si>
  <si>
    <t>Projected Revenue April 2017 - March 2018</t>
  </si>
  <si>
    <t>Projected Revenue April 2016-Mar 2017</t>
  </si>
  <si>
    <t>Projected Revenue April 2015-Mar 2016</t>
  </si>
  <si>
    <t>Projected Revenue Jun 2014-Mar 2015</t>
  </si>
  <si>
    <t>Projected Revenue Jun 2013-Mar 2014</t>
  </si>
  <si>
    <t>Projected Revenue Jun 2012-Mar 2013</t>
  </si>
  <si>
    <t>Projected Revenue Jun 2011-Mar 2012</t>
  </si>
  <si>
    <t>Projected Revenue Jun 2010-Mar 2011</t>
  </si>
  <si>
    <t>Projected Revenue Jun 2009-Mar 2010</t>
  </si>
  <si>
    <t>April - June projected value without adjustment factor</t>
  </si>
  <si>
    <t>April 17-June 17 projected value without adjustment factor</t>
  </si>
  <si>
    <t>Apr-Jun. projected value without adjustment factor</t>
  </si>
  <si>
    <t>Jul 17-March 18 projected value without adjustment factor</t>
  </si>
  <si>
    <t>Actual Commodity Revenue</t>
  </si>
  <si>
    <t>Actual Commodity Revenue (adj. to reflect current customers)</t>
  </si>
  <si>
    <t>Owe Customer (company)</t>
  </si>
  <si>
    <t>Projected Revenue April 2019 - May 2020</t>
  </si>
  <si>
    <t>Projected Revenue April 2018 - May 2019</t>
  </si>
  <si>
    <t>Projected Revenue April 2017-May 2018</t>
  </si>
  <si>
    <t>Projected Revenue April 2016-May 2017</t>
  </si>
  <si>
    <t>Projected Revenue April 2015- May 2016</t>
  </si>
  <si>
    <t>Projected Revenue April 2014- May 2015</t>
  </si>
  <si>
    <t>Projected Revenue May 2013-Apr 2014</t>
  </si>
  <si>
    <t>Projected Revenue May 2012-Apr 2013</t>
  </si>
  <si>
    <t>Projected Revenue May 2011-Apr 2012</t>
  </si>
  <si>
    <t>Projected Revenue May 2010-Apr 2011</t>
  </si>
  <si>
    <t>Projected Value</t>
  </si>
  <si>
    <t>Residential Commodity Adjustment</t>
  </si>
  <si>
    <t>Adjustment due to error in 2013 Calculation</t>
  </si>
  <si>
    <t>Adjustment Correction</t>
  </si>
  <si>
    <t>Unrefunded due to error</t>
  </si>
  <si>
    <t>Below are company calculations</t>
  </si>
  <si>
    <t>Effective July 1, 2019 - June 30, 2020</t>
  </si>
  <si>
    <t>company filed</t>
  </si>
  <si>
    <t>Effective July 1, 2017 - June 30, 2018</t>
  </si>
  <si>
    <t>April 2014- March 2015</t>
  </si>
  <si>
    <t>Data from file TG-150937 2015 Comm Price Adj--Confidential (2).pdf</t>
  </si>
  <si>
    <t>Diff</t>
  </si>
  <si>
    <t>immaterial</t>
  </si>
  <si>
    <t>Revenue</t>
  </si>
  <si>
    <t>April</t>
  </si>
  <si>
    <t>Company now has charges for recycling processing so revenue is now costs</t>
  </si>
  <si>
    <t>May</t>
  </si>
  <si>
    <t>Effective July 1, 2018 - June 30, 2019</t>
  </si>
  <si>
    <t>June</t>
  </si>
  <si>
    <t>July</t>
  </si>
  <si>
    <t>August</t>
  </si>
  <si>
    <t>September</t>
  </si>
  <si>
    <t>October</t>
  </si>
  <si>
    <t>November</t>
  </si>
  <si>
    <t>December</t>
  </si>
  <si>
    <t>January</t>
  </si>
  <si>
    <t>February</t>
  </si>
  <si>
    <t>March</t>
  </si>
  <si>
    <t>2020-2021</t>
  </si>
  <si>
    <t>Projected Revenue April 2019 - March 2020</t>
  </si>
  <si>
    <t>Projected Revenue April 2020 - May 2021</t>
  </si>
  <si>
    <t xml:space="preserve">Note: Company filed $3.43--Immaterial </t>
  </si>
  <si>
    <t>Actual cost Apr 2019 - Mar 2020</t>
  </si>
  <si>
    <t>Total customer credits Apr 2019 - Mar 2020</t>
  </si>
  <si>
    <t>Apr 2020-Mar 2021</t>
  </si>
  <si>
    <t>Apr 2020 Customers</t>
  </si>
  <si>
    <t>May 2020 Customers</t>
  </si>
  <si>
    <t>Jun 2020 Customers</t>
  </si>
  <si>
    <t>Customers Jul 2020 - Mar 2021</t>
  </si>
  <si>
    <t>2021-2022</t>
  </si>
  <si>
    <t>Projected Revenue April 2020 - March 2021</t>
  </si>
  <si>
    <t>Commodity over/under refunded for the 12 months ended 3-31-21</t>
  </si>
  <si>
    <t>Mixed Paper-Bailing cost</t>
  </si>
  <si>
    <t>Projected Cost May 2020- Apr 2021</t>
  </si>
  <si>
    <t>Projected Revenue Jul 2021 - Mar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</si>
</sst>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5" formatCode="&quot;$&quot;#,##0_);\(&quot;$&quot;#,##0\)"/>
    <numFmt numFmtId="41" formatCode="_(* #,##0_);_(* \(#,##0\);_(* &quot;-&quot;_);_(@_)"/>
    <numFmt numFmtId="44" formatCode="_(&quot;$&quot;* #,##0.00_);_(&quot;$&quot;* \(#,##0.00\);_(&quot;$&quot;* &quot;-&quot;??_);_(@_)"/>
    <numFmt numFmtId="43" formatCode="_(* #,##0.00_);_(* \(#,##0.00\);_(* &quot;-&quot;??_);_(@_)"/>
    <numFmt numFmtId="164" formatCode="0_);[Red]\(0\)"/>
    <numFmt numFmtId="165" formatCode="[$-409]mmm\-yy;@"/>
    <numFmt numFmtId="166" formatCode="0.00_);[Red]\(0.00\)"/>
    <numFmt numFmtId="167" formatCode="_(&quot;$&quot;* #,##0_);_(&quot;$&quot;* \(#,##0\);_(&quot;$&quot;* &quot;-&quot;??_);_(@_)"/>
    <numFmt numFmtId="168" formatCode="_(* #,##0_);_(* \(#,##0\);_(* &quot;-&quot;??_);_(@_)"/>
    <numFmt numFmtId="169" formatCode="0.00;[Red]0.00"/>
    <numFmt numFmtId="172" formatCode="0.00_);\(0.00\)"/>
  </numFmts>
  <fonts count="25" x14ac:knownFonts="1">
    <font>
      <sz val="10"/>
      <name val="Arial"/>
    </font>
    <font>
      <b/>
      <sz val="8"/>
      <color indexed="81"/>
      <name val="Tahoma"/>
      <family val="2"/>
    </font>
    <font>
      <sz val="10"/>
      <name val="Arial"/>
      <family val="2"/>
    </font>
    <font>
      <sz val="8"/>
      <color indexed="81"/>
      <name val="Tahoma"/>
      <family val="2"/>
    </font>
    <font>
      <sz val="9"/>
      <color indexed="81"/>
      <name val="Tahoma"/>
      <family val="2"/>
    </font>
    <font>
      <b/>
      <sz val="9"/>
      <color indexed="81"/>
      <name val="Tahoma"/>
      <family val="2"/>
    </font>
    <font>
      <b/>
      <sz val="10"/>
      <name val="Arial"/>
      <family val="2"/>
    </font>
    <font>
      <sz val="9"/>
      <color indexed="81"/>
      <name val="Tahoma"/>
      <charset val="1"/>
    </font>
    <font>
      <sz val="12"/>
      <name val="Comic Sans MS"/>
      <family val="4"/>
    </font>
    <font>
      <b/>
      <sz val="11"/>
      <color indexed="10"/>
      <name val="Comic Sans MS"/>
      <family val="4"/>
    </font>
    <font>
      <b/>
      <sz val="16"/>
      <name val="Arial"/>
      <family val="2"/>
    </font>
    <font>
      <i/>
      <u/>
      <sz val="12"/>
      <name val="Comic Sans MS"/>
      <family val="4"/>
    </font>
    <font>
      <b/>
      <u/>
      <sz val="10"/>
      <name val="Arial"/>
      <family val="2"/>
    </font>
    <font>
      <b/>
      <sz val="10"/>
      <name val="Comic Sans MS"/>
      <family val="4"/>
    </font>
    <font>
      <b/>
      <sz val="10"/>
      <color indexed="12"/>
      <name val="Arial"/>
      <family val="2"/>
    </font>
    <font>
      <sz val="9"/>
      <name val="Arial"/>
      <family val="2"/>
    </font>
    <font>
      <u val="singleAccounting"/>
      <sz val="10"/>
      <name val="Arial"/>
      <family val="2"/>
    </font>
    <font>
      <b/>
      <sz val="11"/>
      <name val="Comic Sans MS"/>
      <family val="4"/>
    </font>
    <font>
      <b/>
      <u val="doubleAccounting"/>
      <sz val="10"/>
      <name val="Arial"/>
      <family val="2"/>
    </font>
    <font>
      <b/>
      <sz val="12"/>
      <name val="Arial"/>
      <family val="2"/>
    </font>
    <font>
      <b/>
      <sz val="9"/>
      <color indexed="81"/>
      <name val="Tahoma"/>
      <charset val="1"/>
    </font>
    <font>
      <sz val="11"/>
      <color theme="1"/>
      <name val="Calibri"/>
      <family val="2"/>
      <scheme val="minor"/>
    </font>
    <font>
      <sz val="10"/>
      <color rgb="FFFF0000"/>
      <name val="Arial"/>
      <family val="2"/>
    </font>
    <font>
      <i/>
      <sz val="10"/>
      <color rgb="FFFF0000"/>
      <name val="Arial"/>
      <family val="2"/>
    </font>
    <font>
      <sz val="10"/>
      <color theme="1"/>
      <name val="Arial"/>
      <family val="2"/>
    </font>
  </fonts>
  <fills count="8">
    <fill>
      <patternFill patternType="none"/>
    </fill>
    <fill>
      <patternFill patternType="gray125"/>
    </fill>
    <fill>
      <patternFill patternType="solid">
        <fgColor rgb="FFFFFF00"/>
        <bgColor indexed="64"/>
      </patternFill>
    </fill>
    <fill>
      <patternFill patternType="solid">
        <fgColor theme="6" tint="0.59999389629810485"/>
        <bgColor indexed="64"/>
      </patternFill>
    </fill>
    <fill>
      <patternFill patternType="solid">
        <fgColor theme="9" tint="0.59999389629810485"/>
        <bgColor indexed="64"/>
      </patternFill>
    </fill>
    <fill>
      <patternFill patternType="solid">
        <fgColor theme="0" tint="-0.14999847407452621"/>
        <bgColor indexed="64"/>
      </patternFill>
    </fill>
    <fill>
      <patternFill patternType="solid">
        <fgColor theme="1"/>
        <bgColor indexed="64"/>
      </patternFill>
    </fill>
    <fill>
      <patternFill patternType="solid">
        <fgColor rgb="FF00B0F0"/>
        <bgColor indexed="64"/>
      </patternFill>
    </fill>
  </fills>
  <borders count="19">
    <border>
      <left/>
      <right/>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double">
        <color indexed="64"/>
      </bottom>
      <diagonal/>
    </border>
    <border>
      <left/>
      <right style="medium">
        <color indexed="64"/>
      </right>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FF0000"/>
      </left>
      <right style="thin">
        <color rgb="FFFF0000"/>
      </right>
      <top style="thin">
        <color rgb="FFFF0000"/>
      </top>
      <bottom style="thin">
        <color rgb="FFFF0000"/>
      </bottom>
      <diagonal/>
    </border>
  </borders>
  <cellStyleXfs count="7">
    <xf numFmtId="0" fontId="0" fillId="0" borderId="0"/>
    <xf numFmtId="43" fontId="2" fillId="0" borderId="0" applyFont="0" applyFill="0" applyBorder="0" applyAlignment="0" applyProtection="0"/>
    <xf numFmtId="43" fontId="21"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cellStyleXfs>
  <cellXfs count="152">
    <xf numFmtId="0" fontId="0" fillId="0" borderId="0" xfId="0"/>
    <xf numFmtId="0" fontId="0" fillId="0" borderId="0" xfId="0" quotePrefix="1"/>
    <xf numFmtId="2" fontId="0" fillId="0" borderId="0" xfId="0" applyNumberFormat="1"/>
    <xf numFmtId="0" fontId="0" fillId="0" borderId="0" xfId="0" applyFill="1"/>
    <xf numFmtId="40" fontId="0" fillId="0" borderId="0" xfId="0" applyNumberFormat="1"/>
    <xf numFmtId="17" fontId="0" fillId="0" borderId="0" xfId="0" quotePrefix="1" applyNumberFormat="1"/>
    <xf numFmtId="0" fontId="2" fillId="0" borderId="0" xfId="0" applyFont="1"/>
    <xf numFmtId="0" fontId="2" fillId="2" borderId="0" xfId="0" applyFont="1" applyFill="1"/>
    <xf numFmtId="0" fontId="0" fillId="2" borderId="0" xfId="0" applyFill="1"/>
    <xf numFmtId="40" fontId="0" fillId="2" borderId="0" xfId="0" applyNumberFormat="1" applyFill="1"/>
    <xf numFmtId="0" fontId="0" fillId="3" borderId="0" xfId="0" applyFill="1"/>
    <xf numFmtId="0" fontId="2" fillId="3" borderId="0" xfId="0" applyFont="1" applyFill="1"/>
    <xf numFmtId="0" fontId="2" fillId="0" borderId="0" xfId="0" applyFont="1" applyFill="1"/>
    <xf numFmtId="40" fontId="0" fillId="0" borderId="0" xfId="0" applyNumberFormat="1" applyFill="1"/>
    <xf numFmtId="0" fontId="2" fillId="0" borderId="0" xfId="0" applyFont="1" applyAlignment="1">
      <alignment wrapText="1"/>
    </xf>
    <xf numFmtId="0" fontId="0" fillId="0" borderId="1" xfId="0" applyBorder="1"/>
    <xf numFmtId="40" fontId="0" fillId="0" borderId="1" xfId="0" applyNumberFormat="1" applyBorder="1"/>
    <xf numFmtId="0" fontId="0" fillId="0" borderId="1" xfId="0" applyBorder="1" applyAlignment="1">
      <alignment horizontal="right"/>
    </xf>
    <xf numFmtId="1" fontId="0" fillId="0" borderId="1" xfId="0" applyNumberFormat="1" applyBorder="1"/>
    <xf numFmtId="0" fontId="0" fillId="0" borderId="0" xfId="0" applyBorder="1"/>
    <xf numFmtId="40" fontId="0" fillId="0" borderId="2" xfId="0" applyNumberFormat="1" applyFill="1" applyBorder="1"/>
    <xf numFmtId="0" fontId="0" fillId="0" borderId="0" xfId="0" applyFill="1" applyBorder="1" applyAlignment="1">
      <alignment horizontal="centerContinuous"/>
    </xf>
    <xf numFmtId="40" fontId="0" fillId="0" borderId="0" xfId="0" applyNumberFormat="1" applyFill="1" applyBorder="1" applyAlignment="1">
      <alignment horizontal="centerContinuous"/>
    </xf>
    <xf numFmtId="0" fontId="0" fillId="0" borderId="0" xfId="0" applyFill="1" applyBorder="1" applyAlignment="1">
      <alignment horizontal="center"/>
    </xf>
    <xf numFmtId="0" fontId="0" fillId="0" borderId="0" xfId="0" applyFill="1" applyBorder="1"/>
    <xf numFmtId="40" fontId="0" fillId="0" borderId="0" xfId="0" applyNumberFormat="1" applyFill="1" applyBorder="1"/>
    <xf numFmtId="2" fontId="0" fillId="2" borderId="2" xfId="0" applyNumberFormat="1" applyFill="1" applyBorder="1"/>
    <xf numFmtId="0" fontId="2" fillId="0" borderId="0" xfId="4" applyFill="1"/>
    <xf numFmtId="40" fontId="2" fillId="0" borderId="0" xfId="4" applyNumberFormat="1" applyFont="1" applyFill="1"/>
    <xf numFmtId="0" fontId="2" fillId="4" borderId="0" xfId="5" applyFont="1" applyFill="1"/>
    <xf numFmtId="0" fontId="2" fillId="4" borderId="0" xfId="5" applyFill="1"/>
    <xf numFmtId="164" fontId="2" fillId="4" borderId="0" xfId="5" applyNumberFormat="1" applyFill="1"/>
    <xf numFmtId="40" fontId="2" fillId="4" borderId="0" xfId="5" applyNumberFormat="1" applyFont="1" applyFill="1"/>
    <xf numFmtId="0" fontId="0" fillId="4" borderId="0" xfId="0" applyFill="1"/>
    <xf numFmtId="0" fontId="0" fillId="3" borderId="2" xfId="0" applyFill="1" applyBorder="1"/>
    <xf numFmtId="0" fontId="2" fillId="3" borderId="0" xfId="4" applyFont="1" applyFill="1"/>
    <xf numFmtId="0" fontId="2" fillId="3" borderId="0" xfId="4" applyFill="1"/>
    <xf numFmtId="17" fontId="0" fillId="3" borderId="0" xfId="0" quotePrefix="1" applyNumberFormat="1" applyFill="1"/>
    <xf numFmtId="0" fontId="6" fillId="0" borderId="0" xfId="0" applyFont="1"/>
    <xf numFmtId="4" fontId="0" fillId="0" borderId="0" xfId="0" applyNumberFormat="1"/>
    <xf numFmtId="39" fontId="0" fillId="0" borderId="0" xfId="0" applyNumberFormat="1"/>
    <xf numFmtId="39" fontId="0" fillId="0" borderId="3" xfId="0" applyNumberFormat="1" applyBorder="1"/>
    <xf numFmtId="39" fontId="0" fillId="0" borderId="4" xfId="0" applyNumberFormat="1" applyBorder="1"/>
    <xf numFmtId="165" fontId="0" fillId="0" borderId="0" xfId="0" applyNumberFormat="1"/>
    <xf numFmtId="0" fontId="0" fillId="0" borderId="0" xfId="0" applyAlignment="1">
      <alignment horizontal="right"/>
    </xf>
    <xf numFmtId="0" fontId="6" fillId="0" borderId="0" xfId="0" applyFont="1" applyAlignment="1">
      <alignment horizontal="right"/>
    </xf>
    <xf numFmtId="0" fontId="2" fillId="0" borderId="0" xfId="0" applyFont="1" applyAlignment="1">
      <alignment horizontal="right"/>
    </xf>
    <xf numFmtId="0" fontId="0" fillId="5" borderId="0" xfId="0" applyFill="1"/>
    <xf numFmtId="40" fontId="0" fillId="5" borderId="0" xfId="0" applyNumberFormat="1" applyFill="1"/>
    <xf numFmtId="0" fontId="0" fillId="5" borderId="2" xfId="0" applyFill="1" applyBorder="1"/>
    <xf numFmtId="40" fontId="0" fillId="5" borderId="2" xfId="0" applyNumberFormat="1" applyFill="1" applyBorder="1"/>
    <xf numFmtId="0" fontId="0" fillId="5" borderId="1" xfId="0" applyFill="1" applyBorder="1"/>
    <xf numFmtId="40" fontId="0" fillId="5" borderId="1" xfId="0" applyNumberFormat="1" applyFill="1" applyBorder="1"/>
    <xf numFmtId="166" fontId="0" fillId="5" borderId="2" xfId="0" applyNumberFormat="1" applyFill="1" applyBorder="1"/>
    <xf numFmtId="166" fontId="0" fillId="5" borderId="1" xfId="0" applyNumberFormat="1" applyFill="1" applyBorder="1"/>
    <xf numFmtId="38" fontId="0" fillId="5" borderId="0" xfId="0" applyNumberFormat="1" applyFill="1"/>
    <xf numFmtId="38" fontId="0" fillId="5" borderId="3" xfId="0" applyNumberFormat="1" applyFill="1" applyBorder="1"/>
    <xf numFmtId="40" fontId="0" fillId="5" borderId="3" xfId="0" applyNumberFormat="1" applyFill="1" applyBorder="1"/>
    <xf numFmtId="166" fontId="0" fillId="5" borderId="0" xfId="0" applyNumberFormat="1" applyFill="1"/>
    <xf numFmtId="37" fontId="0" fillId="0" borderId="0" xfId="0" applyNumberFormat="1"/>
    <xf numFmtId="37" fontId="0" fillId="0" borderId="3" xfId="0" applyNumberFormat="1" applyBorder="1"/>
    <xf numFmtId="37" fontId="0" fillId="0" borderId="2" xfId="0" applyNumberFormat="1" applyBorder="1"/>
    <xf numFmtId="4" fontId="0" fillId="5" borderId="0" xfId="0" applyNumberFormat="1" applyFill="1"/>
    <xf numFmtId="0" fontId="8" fillId="5" borderId="5" xfId="4" applyFont="1" applyFill="1" applyBorder="1"/>
    <xf numFmtId="0" fontId="8" fillId="5" borderId="6" xfId="4" applyFont="1" applyFill="1" applyBorder="1"/>
    <xf numFmtId="0" fontId="2" fillId="5" borderId="6" xfId="4" applyFill="1" applyBorder="1"/>
    <xf numFmtId="0" fontId="2" fillId="5" borderId="7" xfId="4" applyFill="1" applyBorder="1"/>
    <xf numFmtId="0" fontId="2" fillId="0" borderId="0" xfId="4"/>
    <xf numFmtId="0" fontId="6" fillId="5" borderId="8" xfId="4" applyFont="1" applyFill="1" applyBorder="1"/>
    <xf numFmtId="0" fontId="6" fillId="5" borderId="0" xfId="4" applyFont="1" applyFill="1"/>
    <xf numFmtId="0" fontId="9" fillId="5" borderId="0" xfId="4" applyFont="1" applyFill="1"/>
    <xf numFmtId="0" fontId="2" fillId="5" borderId="0" xfId="4" applyFill="1"/>
    <xf numFmtId="0" fontId="2" fillId="5" borderId="9" xfId="4" applyFill="1" applyBorder="1"/>
    <xf numFmtId="15" fontId="6" fillId="5" borderId="8" xfId="4" applyNumberFormat="1" applyFont="1" applyFill="1" applyBorder="1"/>
    <xf numFmtId="15" fontId="6" fillId="5" borderId="0" xfId="4" applyNumberFormat="1" applyFont="1" applyFill="1"/>
    <xf numFmtId="0" fontId="2" fillId="5" borderId="8" xfId="4" applyFill="1" applyBorder="1"/>
    <xf numFmtId="0" fontId="2" fillId="2" borderId="0" xfId="4" applyFill="1"/>
    <xf numFmtId="0" fontId="6" fillId="5" borderId="0" xfId="4" applyFont="1" applyFill="1" applyAlignment="1">
      <alignment horizontal="center"/>
    </xf>
    <xf numFmtId="0" fontId="12" fillId="5" borderId="0" xfId="4" applyFont="1" applyFill="1" applyAlignment="1">
      <alignment horizontal="center"/>
    </xf>
    <xf numFmtId="0" fontId="13" fillId="5" borderId="10" xfId="4" applyFont="1" applyFill="1" applyBorder="1"/>
    <xf numFmtId="0" fontId="13" fillId="5" borderId="0" xfId="4" applyFont="1" applyFill="1"/>
    <xf numFmtId="0" fontId="2" fillId="5" borderId="0" xfId="4" applyFill="1" applyAlignment="1">
      <alignment horizontal="center"/>
    </xf>
    <xf numFmtId="41" fontId="2" fillId="5" borderId="0" xfId="4" applyNumberFormat="1" applyFill="1"/>
    <xf numFmtId="44" fontId="14" fillId="2" borderId="0" xfId="3" applyFont="1" applyFill="1" applyBorder="1"/>
    <xf numFmtId="44" fontId="14" fillId="5" borderId="0" xfId="3" applyFont="1" applyFill="1" applyBorder="1"/>
    <xf numFmtId="0" fontId="15" fillId="5" borderId="0" xfId="4" applyFont="1" applyFill="1"/>
    <xf numFmtId="41" fontId="16" fillId="5" borderId="0" xfId="4" applyNumberFormat="1" applyFont="1" applyFill="1"/>
    <xf numFmtId="41" fontId="2" fillId="2" borderId="0" xfId="4" applyNumberFormat="1" applyFill="1"/>
    <xf numFmtId="41" fontId="2" fillId="4" borderId="0" xfId="4" applyNumberFormat="1" applyFill="1"/>
    <xf numFmtId="44" fontId="2" fillId="5" borderId="9" xfId="3" applyFont="1" applyFill="1" applyBorder="1"/>
    <xf numFmtId="44" fontId="2" fillId="5" borderId="0" xfId="3" applyFont="1" applyFill="1" applyBorder="1"/>
    <xf numFmtId="167" fontId="2" fillId="5" borderId="0" xfId="3" applyNumberFormat="1" applyFont="1" applyFill="1" applyBorder="1"/>
    <xf numFmtId="168" fontId="2" fillId="5" borderId="0" xfId="1" applyNumberFormat="1" applyFont="1" applyFill="1" applyBorder="1"/>
    <xf numFmtId="44" fontId="16" fillId="5" borderId="9" xfId="3" applyFont="1" applyFill="1" applyBorder="1"/>
    <xf numFmtId="44" fontId="16" fillId="5" borderId="0" xfId="3" applyFont="1" applyFill="1" applyBorder="1"/>
    <xf numFmtId="44" fontId="17" fillId="5" borderId="9" xfId="3" applyFont="1" applyFill="1" applyBorder="1"/>
    <xf numFmtId="44" fontId="17" fillId="5" borderId="11" xfId="3" applyFont="1" applyFill="1" applyBorder="1"/>
    <xf numFmtId="44" fontId="17" fillId="5" borderId="4" xfId="3" applyFont="1" applyFill="1" applyBorder="1"/>
    <xf numFmtId="44" fontId="17" fillId="5" borderId="12" xfId="3" applyFont="1" applyFill="1" applyBorder="1"/>
    <xf numFmtId="0" fontId="6" fillId="5" borderId="10" xfId="4" applyFont="1" applyFill="1" applyBorder="1"/>
    <xf numFmtId="44" fontId="18" fillId="5" borderId="9" xfId="4" applyNumberFormat="1" applyFont="1" applyFill="1" applyBorder="1"/>
    <xf numFmtId="0" fontId="2" fillId="5" borderId="13" xfId="4" applyFill="1" applyBorder="1"/>
    <xf numFmtId="44" fontId="17" fillId="5" borderId="18" xfId="3" applyFont="1" applyFill="1" applyBorder="1"/>
    <xf numFmtId="44" fontId="2" fillId="4" borderId="0" xfId="3" applyFont="1" applyFill="1" applyBorder="1"/>
    <xf numFmtId="0" fontId="2" fillId="5" borderId="0" xfId="4" applyFill="1" applyAlignment="1">
      <alignment horizontal="right"/>
    </xf>
    <xf numFmtId="44" fontId="2" fillId="5" borderId="0" xfId="4" applyNumberFormat="1" applyFill="1"/>
    <xf numFmtId="44" fontId="6" fillId="5" borderId="12" xfId="3" applyFont="1" applyFill="1" applyBorder="1"/>
    <xf numFmtId="0" fontId="2" fillId="5" borderId="3" xfId="4" applyFill="1" applyBorder="1"/>
    <xf numFmtId="0" fontId="22" fillId="0" borderId="0" xfId="4" applyFont="1"/>
    <xf numFmtId="0" fontId="19" fillId="0" borderId="0" xfId="4" applyFont="1"/>
    <xf numFmtId="0" fontId="6" fillId="0" borderId="0" xfId="4" applyFont="1"/>
    <xf numFmtId="44" fontId="2" fillId="0" borderId="0" xfId="4" applyNumberFormat="1"/>
    <xf numFmtId="0" fontId="2" fillId="0" borderId="14" xfId="4" applyBorder="1"/>
    <xf numFmtId="0" fontId="2" fillId="0" borderId="2" xfId="4" applyBorder="1"/>
    <xf numFmtId="0" fontId="2" fillId="0" borderId="15" xfId="4" applyBorder="1"/>
    <xf numFmtId="0" fontId="2" fillId="0" borderId="16" xfId="4" applyBorder="1"/>
    <xf numFmtId="44" fontId="2" fillId="0" borderId="3" xfId="4" applyNumberFormat="1" applyBorder="1"/>
    <xf numFmtId="0" fontId="23" fillId="0" borderId="17" xfId="4" applyFont="1" applyBorder="1"/>
    <xf numFmtId="44" fontId="2" fillId="0" borderId="0" xfId="3" applyFont="1"/>
    <xf numFmtId="168" fontId="2" fillId="0" borderId="0" xfId="2" applyNumberFormat="1" applyFont="1"/>
    <xf numFmtId="0" fontId="2" fillId="5" borderId="12" xfId="4" applyFill="1" applyBorder="1"/>
    <xf numFmtId="44" fontId="2" fillId="5" borderId="9" xfId="4" applyNumberFormat="1" applyFill="1" applyBorder="1"/>
    <xf numFmtId="169" fontId="0" fillId="0" borderId="0" xfId="0" applyNumberFormat="1"/>
    <xf numFmtId="169" fontId="0" fillId="0" borderId="0" xfId="0" applyNumberFormat="1" applyFill="1"/>
    <xf numFmtId="169" fontId="0" fillId="0" borderId="0" xfId="0" applyNumberFormat="1" applyFill="1" applyBorder="1" applyAlignment="1">
      <alignment horizontal="center"/>
    </xf>
    <xf numFmtId="0" fontId="0" fillId="0" borderId="0" xfId="0" applyNumberFormat="1"/>
    <xf numFmtId="5" fontId="2" fillId="2" borderId="0" xfId="4" applyNumberFormat="1" applyFill="1"/>
    <xf numFmtId="5" fontId="2" fillId="5" borderId="0" xfId="4" applyNumberFormat="1" applyFill="1"/>
    <xf numFmtId="5" fontId="16" fillId="5" borderId="0" xfId="4" applyNumberFormat="1" applyFont="1" applyFill="1"/>
    <xf numFmtId="0" fontId="0" fillId="6" borderId="0" xfId="0" applyFill="1"/>
    <xf numFmtId="0" fontId="2" fillId="6" borderId="0" xfId="0" applyFont="1" applyFill="1"/>
    <xf numFmtId="2" fontId="0" fillId="6" borderId="0" xfId="0" applyNumberFormat="1" applyFill="1"/>
    <xf numFmtId="2" fontId="0" fillId="6" borderId="2" xfId="0" applyNumberFormat="1" applyFill="1" applyBorder="1"/>
    <xf numFmtId="169" fontId="0" fillId="0" borderId="0" xfId="0" applyNumberFormat="1" applyFill="1" applyBorder="1"/>
    <xf numFmtId="2" fontId="0" fillId="0" borderId="2" xfId="0" applyNumberFormat="1" applyBorder="1"/>
    <xf numFmtId="4" fontId="0" fillId="6" borderId="0" xfId="0" applyNumberFormat="1" applyFill="1"/>
    <xf numFmtId="2" fontId="24" fillId="6" borderId="0" xfId="0" applyNumberFormat="1" applyFont="1" applyFill="1"/>
    <xf numFmtId="2" fontId="24" fillId="6" borderId="0" xfId="0" applyNumberFormat="1" applyFont="1" applyFill="1" applyBorder="1" applyAlignment="1">
      <alignment horizontal="center"/>
    </xf>
    <xf numFmtId="2" fontId="24" fillId="6" borderId="0" xfId="0" applyNumberFormat="1" applyFont="1" applyFill="1" applyBorder="1"/>
    <xf numFmtId="172" fontId="24" fillId="6" borderId="0" xfId="0" applyNumberFormat="1" applyFont="1" applyFill="1"/>
    <xf numFmtId="172" fontId="24" fillId="6" borderId="2" xfId="0" applyNumberFormat="1" applyFont="1" applyFill="1" applyBorder="1"/>
    <xf numFmtId="172" fontId="24" fillId="6" borderId="0" xfId="4" applyNumberFormat="1" applyFont="1" applyFill="1"/>
    <xf numFmtId="172" fontId="24" fillId="6" borderId="0" xfId="5" applyNumberFormat="1" applyFont="1" applyFill="1"/>
    <xf numFmtId="172" fontId="24" fillId="6" borderId="1" xfId="0" applyNumberFormat="1" applyFont="1" applyFill="1" applyBorder="1"/>
    <xf numFmtId="39" fontId="24" fillId="6" borderId="1" xfId="0" applyNumberFormat="1" applyFont="1" applyFill="1" applyBorder="1"/>
    <xf numFmtId="44" fontId="17" fillId="7" borderId="9" xfId="3" applyFont="1" applyFill="1" applyBorder="1"/>
    <xf numFmtId="0" fontId="11" fillId="5" borderId="8" xfId="4" applyFont="1" applyFill="1" applyBorder="1" applyAlignment="1">
      <alignment horizontal="center"/>
    </xf>
    <xf numFmtId="0" fontId="11" fillId="5" borderId="0" xfId="4" applyFont="1" applyFill="1" applyAlignment="1">
      <alignment horizontal="center"/>
    </xf>
    <xf numFmtId="0" fontId="11" fillId="5" borderId="9" xfId="4" applyFont="1" applyFill="1" applyBorder="1" applyAlignment="1">
      <alignment horizontal="center"/>
    </xf>
    <xf numFmtId="0" fontId="10" fillId="5" borderId="8" xfId="4" applyFont="1" applyFill="1" applyBorder="1" applyAlignment="1">
      <alignment horizontal="center"/>
    </xf>
    <xf numFmtId="0" fontId="10" fillId="5" borderId="0" xfId="4" applyFont="1" applyFill="1" applyAlignment="1">
      <alignment horizontal="center"/>
    </xf>
    <xf numFmtId="0" fontId="10" fillId="5" borderId="9" xfId="4" applyFont="1" applyFill="1" applyBorder="1" applyAlignment="1">
      <alignment horizontal="center"/>
    </xf>
  </cellXfs>
  <cellStyles count="7">
    <cellStyle name="Comma 2" xfId="1"/>
    <cellStyle name="Comma 3" xfId="2"/>
    <cellStyle name="Currency 2" xfId="3"/>
    <cellStyle name="Normal" xfId="0" builtinId="0"/>
    <cellStyle name="Normal 2" xfId="4"/>
    <cellStyle name="Normal 3" xfId="5"/>
    <cellStyle name="Normal 4" xfId="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RUB-DC1\Redirection$\Cassie\Documents\Cassie\1.Rubatino\Annual%20Reports\WUTC\Commodity\MOST%20CURRENT%20commodity%20credit%20worksheetTG-190401%20Staff%20Workbook%206-19-19%20(00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home.utc.wa.gov/sites/TransportationPvt/SolidWaste/Staff%20TG-160492%20Confidential%20Workpapers.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home.utc.wa.gov/sites/TransportationPvt/SolidWaste/Staff%20analysis%20TG150937.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I:\UTIL\Migrated-TRANS\Company%20Filings%20-%20Solid%20Waste\Rubatino%20Refuse%20Removal,%20Inc.%20(G-58)\2013\TG-130747%20commodity%20adj\COMMODITY2013.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I:\UTIL\TRANS\Dave%20G\2011%20Filings\TG-110865\Workpaper%20Staff%20TG-11086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19 Staff Analysis"/>
      <sheetName val="WUTC V.2"/>
      <sheetName val="WUTC"/>
      <sheetName val="2019 WORKING COPY V.3"/>
      <sheetName val="2019 WORKING COPY V.2"/>
      <sheetName val="2019 WORKING COPY "/>
      <sheetName val="2019 CONFIDENTIAL"/>
      <sheetName val="2019 Data From Company"/>
      <sheetName val="2018 Staff Worksheet"/>
      <sheetName val="2016 CONFIDENTIAL"/>
    </sheetNames>
    <sheetDataSet>
      <sheetData sheetId="0"/>
      <sheetData sheetId="1">
        <row r="11">
          <cell r="F11">
            <v>54477</v>
          </cell>
        </row>
        <row r="12">
          <cell r="F12">
            <v>165102</v>
          </cell>
        </row>
      </sheetData>
      <sheetData sheetId="2"/>
      <sheetData sheetId="3">
        <row r="20">
          <cell r="N20">
            <v>-318464.90950000001</v>
          </cell>
        </row>
      </sheetData>
      <sheetData sheetId="4"/>
      <sheetData sheetId="5"/>
      <sheetData sheetId="6"/>
      <sheetData sheetId="7"/>
      <sheetData sheetId="8">
        <row r="11">
          <cell r="M11">
            <v>201608.4904801136</v>
          </cell>
        </row>
      </sheetData>
      <sheetData sheetId="9">
        <row r="20">
          <cell r="N20">
            <v>274837.78000000003</v>
          </cell>
        </row>
        <row r="27">
          <cell r="J27">
            <v>17495</v>
          </cell>
        </row>
        <row r="28">
          <cell r="J28">
            <v>17552</v>
          </cell>
        </row>
        <row r="29">
          <cell r="J29">
            <v>17643</v>
          </cell>
        </row>
        <row r="30">
          <cell r="J30">
            <v>17685</v>
          </cell>
        </row>
        <row r="31">
          <cell r="J31">
            <v>17687</v>
          </cell>
        </row>
        <row r="32">
          <cell r="J32">
            <v>17704</v>
          </cell>
        </row>
        <row r="33">
          <cell r="J33">
            <v>17687</v>
          </cell>
        </row>
        <row r="34">
          <cell r="J34">
            <v>17623</v>
          </cell>
        </row>
        <row r="35">
          <cell r="J35">
            <v>16624</v>
          </cell>
        </row>
        <row r="36">
          <cell r="J36">
            <v>17683</v>
          </cell>
        </row>
        <row r="37">
          <cell r="J37">
            <v>17658</v>
          </cell>
        </row>
        <row r="38">
          <cell r="J38">
            <v>17662</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16 Staff Analysis"/>
      <sheetName val="2015 CONFIDENTIAL"/>
    </sheetNames>
    <sheetDataSet>
      <sheetData sheetId="0"/>
      <sheetData sheetId="1">
        <row r="20">
          <cell r="N20">
            <v>159977.75</v>
          </cell>
        </row>
        <row r="27">
          <cell r="J27">
            <v>17145</v>
          </cell>
        </row>
        <row r="28">
          <cell r="J28">
            <v>17226</v>
          </cell>
        </row>
        <row r="29">
          <cell r="J29">
            <v>17664</v>
          </cell>
        </row>
        <row r="30">
          <cell r="J30">
            <v>17405</v>
          </cell>
        </row>
        <row r="31">
          <cell r="J31">
            <v>17381</v>
          </cell>
        </row>
        <row r="32">
          <cell r="J32">
            <v>17360</v>
          </cell>
        </row>
        <row r="33">
          <cell r="J33">
            <v>17371</v>
          </cell>
        </row>
        <row r="34">
          <cell r="J34">
            <v>17431</v>
          </cell>
        </row>
        <row r="35">
          <cell r="J35">
            <v>17427</v>
          </cell>
        </row>
        <row r="36">
          <cell r="J36">
            <v>17476</v>
          </cell>
        </row>
        <row r="37">
          <cell r="J37">
            <v>17451</v>
          </cell>
        </row>
        <row r="38">
          <cell r="J38">
            <v>17447</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15 Staff Analysis"/>
      <sheetName val="2014"/>
      <sheetName val="WUTC"/>
    </sheetNames>
    <sheetDataSet>
      <sheetData sheetId="0"/>
      <sheetData sheetId="1">
        <row r="20">
          <cell r="N20">
            <v>234286.43999999997</v>
          </cell>
        </row>
        <row r="27">
          <cell r="J27">
            <v>16510</v>
          </cell>
        </row>
        <row r="28">
          <cell r="J28">
            <v>16526</v>
          </cell>
        </row>
        <row r="29">
          <cell r="J29">
            <v>16386</v>
          </cell>
        </row>
        <row r="30">
          <cell r="J30">
            <v>16736</v>
          </cell>
        </row>
        <row r="31">
          <cell r="J31">
            <v>16823</v>
          </cell>
        </row>
        <row r="32">
          <cell r="J32">
            <v>16886</v>
          </cell>
        </row>
        <row r="33">
          <cell r="J33">
            <v>16914</v>
          </cell>
        </row>
        <row r="34">
          <cell r="J34">
            <v>16811</v>
          </cell>
        </row>
        <row r="35">
          <cell r="J35">
            <v>16765</v>
          </cell>
        </row>
        <row r="36">
          <cell r="J36">
            <v>16775</v>
          </cell>
        </row>
        <row r="37">
          <cell r="J37">
            <v>16777</v>
          </cell>
        </row>
        <row r="38">
          <cell r="J38">
            <v>16711</v>
          </cell>
        </row>
      </sheetData>
      <sheetData sheetId="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13"/>
      <sheetName val="Staff Analysis"/>
    </sheetNames>
    <sheetDataSet>
      <sheetData sheetId="0">
        <row r="27">
          <cell r="J27">
            <v>16573</v>
          </cell>
        </row>
        <row r="28">
          <cell r="J28">
            <v>16603</v>
          </cell>
        </row>
        <row r="29">
          <cell r="J29">
            <v>15580</v>
          </cell>
        </row>
        <row r="30">
          <cell r="J30">
            <v>16645</v>
          </cell>
        </row>
        <row r="31">
          <cell r="J31">
            <v>16659</v>
          </cell>
        </row>
        <row r="32">
          <cell r="J32">
            <v>12347</v>
          </cell>
        </row>
        <row r="33">
          <cell r="J33">
            <v>15735</v>
          </cell>
        </row>
        <row r="34">
          <cell r="J34">
            <v>16621</v>
          </cell>
        </row>
        <row r="35">
          <cell r="J35">
            <v>16538</v>
          </cell>
        </row>
        <row r="36">
          <cell r="J36">
            <v>16524</v>
          </cell>
        </row>
        <row r="37">
          <cell r="J37">
            <v>16533</v>
          </cell>
        </row>
        <row r="38">
          <cell r="J38">
            <v>16498</v>
          </cell>
        </row>
        <row r="39">
          <cell r="F39">
            <v>257194.49</v>
          </cell>
        </row>
      </sheetData>
      <sheetData sheetId="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11"/>
    </sheetNames>
    <sheetDataSet>
      <sheetData sheetId="0">
        <row r="27">
          <cell r="J27">
            <v>16184</v>
          </cell>
        </row>
        <row r="28">
          <cell r="J28">
            <v>16174</v>
          </cell>
        </row>
        <row r="29">
          <cell r="J29">
            <v>16195</v>
          </cell>
        </row>
        <row r="30">
          <cell r="J30">
            <v>16413</v>
          </cell>
        </row>
        <row r="31">
          <cell r="J31">
            <v>16632</v>
          </cell>
        </row>
        <row r="32">
          <cell r="J32">
            <v>16753</v>
          </cell>
        </row>
        <row r="33">
          <cell r="J33">
            <v>16747</v>
          </cell>
        </row>
        <row r="34">
          <cell r="J34">
            <v>16725</v>
          </cell>
        </row>
        <row r="35">
          <cell r="J35">
            <v>16629</v>
          </cell>
        </row>
        <row r="36">
          <cell r="J36">
            <v>16644</v>
          </cell>
        </row>
        <row r="37">
          <cell r="J37">
            <v>16613</v>
          </cell>
        </row>
        <row r="38">
          <cell r="J38">
            <v>16686</v>
          </cell>
        </row>
        <row r="39">
          <cell r="F39">
            <v>322653.09000000003</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T63"/>
  <sheetViews>
    <sheetView tabSelected="1" workbookViewId="0">
      <selection activeCell="E15" sqref="E15"/>
    </sheetView>
  </sheetViews>
  <sheetFormatPr defaultColWidth="8.85546875" defaultRowHeight="12.75" x14ac:dyDescent="0.2"/>
  <cols>
    <col min="1" max="1" width="41.7109375" style="67" customWidth="1"/>
    <col min="2" max="2" width="8.85546875" style="67"/>
    <col min="3" max="3" width="12.28515625" style="67" customWidth="1"/>
    <col min="4" max="4" width="9.28515625" style="67" customWidth="1"/>
    <col min="5" max="5" width="10.42578125" style="67" customWidth="1"/>
    <col min="6" max="6" width="14.7109375" style="67" customWidth="1"/>
    <col min="7" max="7" width="41.7109375" style="67" customWidth="1"/>
    <col min="8" max="8" width="8.85546875" style="67"/>
    <col min="9" max="9" width="12.28515625" style="67" customWidth="1"/>
    <col min="10" max="10" width="9.28515625" style="67" customWidth="1"/>
    <col min="11" max="11" width="10.42578125" style="67" customWidth="1"/>
    <col min="12" max="12" width="14.7109375" style="67" customWidth="1"/>
    <col min="13" max="13" width="41.28515625" style="67" customWidth="1"/>
    <col min="14" max="14" width="8.85546875" style="67"/>
    <col min="15" max="15" width="13.85546875" style="67" customWidth="1"/>
    <col min="16" max="16" width="8.85546875" style="67"/>
    <col min="17" max="18" width="13.28515625" style="67" customWidth="1"/>
    <col min="19" max="19" width="40.28515625" style="67" customWidth="1"/>
    <col min="20" max="20" width="8.5703125" style="67" customWidth="1"/>
    <col min="21" max="21" width="12.42578125" style="67" customWidth="1"/>
    <col min="22" max="22" width="12.7109375" style="67" customWidth="1"/>
    <col min="23" max="23" width="13.28515625" style="67" customWidth="1"/>
    <col min="24" max="24" width="11.140625" style="67" customWidth="1"/>
    <col min="25" max="25" width="40.28515625" style="67" customWidth="1"/>
    <col min="26" max="26" width="6.28515625" style="67" customWidth="1"/>
    <col min="27" max="27" width="12.42578125" style="67" customWidth="1"/>
    <col min="28" max="28" width="12.7109375" style="67" customWidth="1"/>
    <col min="29" max="29" width="10.7109375" style="67" bestFit="1" customWidth="1"/>
    <col min="30" max="30" width="11.140625" style="67" customWidth="1"/>
    <col min="31" max="31" width="40.28515625" style="67" customWidth="1"/>
    <col min="32" max="32" width="6.28515625" style="67" customWidth="1"/>
    <col min="33" max="33" width="12.42578125" style="67" customWidth="1"/>
    <col min="34" max="34" width="12.7109375" style="67" customWidth="1"/>
    <col min="35" max="35" width="10.7109375" style="67" bestFit="1" customWidth="1"/>
    <col min="36" max="36" width="11.140625" style="67" customWidth="1"/>
    <col min="37" max="37" width="40.28515625" style="67" customWidth="1"/>
    <col min="38" max="38" width="6.28515625" style="67" customWidth="1"/>
    <col min="39" max="39" width="12.42578125" style="67" customWidth="1"/>
    <col min="40" max="40" width="12.7109375" style="67" customWidth="1"/>
    <col min="41" max="41" width="10.7109375" style="67" bestFit="1" customWidth="1"/>
    <col min="42" max="42" width="11.140625" style="67" customWidth="1"/>
    <col min="43" max="43" width="40.28515625" style="67" customWidth="1"/>
    <col min="44" max="44" width="6.28515625" style="67" customWidth="1"/>
    <col min="45" max="45" width="12.42578125" style="67" customWidth="1"/>
    <col min="46" max="46" width="12.7109375" style="67" customWidth="1"/>
    <col min="47" max="47" width="10.7109375" style="67" bestFit="1" customWidth="1"/>
    <col min="48" max="48" width="9.28515625" style="67" bestFit="1" customWidth="1"/>
    <col min="49" max="49" width="40.28515625" style="67" customWidth="1"/>
    <col min="50" max="50" width="6.28515625" style="67" customWidth="1"/>
    <col min="51" max="51" width="12.42578125" style="67" customWidth="1"/>
    <col min="52" max="52" width="12.7109375" style="67" bestFit="1" customWidth="1"/>
    <col min="53" max="53" width="10.28515625" style="67" bestFit="1" customWidth="1"/>
    <col min="54" max="54" width="9.28515625" style="67" bestFit="1" customWidth="1"/>
    <col min="55" max="55" width="11" style="67" customWidth="1"/>
    <col min="56" max="56" width="41.5703125" style="67" customWidth="1"/>
    <col min="57" max="57" width="10.42578125" style="67" bestFit="1" customWidth="1"/>
    <col min="58" max="58" width="13.42578125" style="67" customWidth="1"/>
    <col min="59" max="59" width="11" style="67" customWidth="1"/>
    <col min="60" max="60" width="11.85546875" style="67" customWidth="1"/>
    <col min="61" max="61" width="35.85546875" style="67" customWidth="1"/>
    <col min="62" max="62" width="8.85546875" style="67"/>
    <col min="63" max="63" width="24.140625" style="67" customWidth="1"/>
    <col min="64" max="64" width="11" style="67" bestFit="1" customWidth="1"/>
    <col min="65" max="65" width="10.5703125" style="67" bestFit="1" customWidth="1"/>
    <col min="66" max="66" width="9.85546875" style="67" bestFit="1" customWidth="1"/>
    <col min="67" max="67" width="41.140625" style="67" customWidth="1"/>
    <col min="68" max="71" width="8.85546875" style="67"/>
    <col min="72" max="72" width="10.5703125" style="67" customWidth="1"/>
    <col min="73" max="16384" width="8.85546875" style="67"/>
  </cols>
  <sheetData>
    <row r="1" spans="1:72" ht="19.5" customHeight="1" x14ac:dyDescent="0.4">
      <c r="A1" s="63" t="s">
        <v>49</v>
      </c>
      <c r="B1" s="64"/>
      <c r="C1" s="65"/>
      <c r="D1" s="65"/>
      <c r="E1" s="65"/>
      <c r="F1" s="66"/>
      <c r="G1" s="63" t="s">
        <v>49</v>
      </c>
      <c r="H1" s="64"/>
      <c r="I1" s="65"/>
      <c r="J1" s="65"/>
      <c r="K1" s="65"/>
      <c r="L1" s="66"/>
      <c r="M1" s="63" t="s">
        <v>49</v>
      </c>
      <c r="N1" s="64"/>
      <c r="O1" s="65"/>
      <c r="P1" s="65"/>
      <c r="Q1" s="65"/>
      <c r="R1" s="66"/>
      <c r="S1" s="63" t="s">
        <v>49</v>
      </c>
      <c r="T1" s="64"/>
      <c r="U1" s="65"/>
      <c r="V1" s="65"/>
      <c r="W1" s="65"/>
      <c r="X1" s="66"/>
      <c r="Y1" s="63" t="s">
        <v>49</v>
      </c>
      <c r="Z1" s="64"/>
      <c r="AA1" s="65"/>
      <c r="AB1" s="65"/>
      <c r="AC1" s="65"/>
      <c r="AD1" s="66"/>
      <c r="AE1" s="63" t="s">
        <v>49</v>
      </c>
      <c r="AF1" s="64"/>
      <c r="AG1" s="65"/>
      <c r="AH1" s="65"/>
      <c r="AI1" s="65"/>
      <c r="AJ1" s="66"/>
      <c r="AK1" s="63" t="s">
        <v>49</v>
      </c>
      <c r="AL1" s="64"/>
      <c r="AM1" s="65"/>
      <c r="AN1" s="65"/>
      <c r="AO1" s="65"/>
      <c r="AP1" s="66"/>
      <c r="AQ1" s="63" t="s">
        <v>49</v>
      </c>
      <c r="AR1" s="64"/>
      <c r="AS1" s="65"/>
      <c r="AT1" s="65"/>
      <c r="AU1" s="65"/>
      <c r="AV1" s="66"/>
      <c r="AW1" s="63" t="s">
        <v>49</v>
      </c>
      <c r="AX1" s="64"/>
      <c r="AY1" s="65"/>
      <c r="AZ1" s="65"/>
      <c r="BA1" s="65"/>
      <c r="BB1" s="66"/>
      <c r="BC1" s="63" t="str">
        <f>AW1</f>
        <v>Rubatino Refuse Removal commodity adjustment</v>
      </c>
      <c r="BD1" s="64"/>
      <c r="BE1" s="65"/>
      <c r="BF1" s="65"/>
      <c r="BG1" s="65"/>
      <c r="BH1" s="66"/>
      <c r="BI1" s="63" t="str">
        <f>AW1</f>
        <v>Rubatino Refuse Removal commodity adjustment</v>
      </c>
      <c r="BJ1" s="64"/>
      <c r="BK1" s="65"/>
      <c r="BL1" s="65"/>
      <c r="BM1" s="65"/>
      <c r="BN1" s="65"/>
      <c r="BO1" s="63" t="str">
        <f>BC1</f>
        <v>Rubatino Refuse Removal commodity adjustment</v>
      </c>
      <c r="BP1" s="64"/>
      <c r="BQ1" s="65"/>
      <c r="BR1" s="65"/>
      <c r="BS1" s="65"/>
      <c r="BT1" s="65"/>
    </row>
    <row r="2" spans="1:72" ht="18" x14ac:dyDescent="0.35">
      <c r="A2" s="68" t="s">
        <v>50</v>
      </c>
      <c r="B2" s="69"/>
      <c r="C2" s="70" t="s">
        <v>22</v>
      </c>
      <c r="D2" s="71"/>
      <c r="E2" s="71"/>
      <c r="F2" s="72"/>
      <c r="G2" s="68" t="s">
        <v>50</v>
      </c>
      <c r="H2" s="69"/>
      <c r="I2" s="70" t="s">
        <v>22</v>
      </c>
      <c r="J2" s="71"/>
      <c r="K2" s="71"/>
      <c r="L2" s="72"/>
      <c r="M2" s="68" t="s">
        <v>50</v>
      </c>
      <c r="N2" s="69"/>
      <c r="O2" s="70" t="s">
        <v>22</v>
      </c>
      <c r="P2" s="71"/>
      <c r="Q2" s="71"/>
      <c r="R2" s="72"/>
      <c r="S2" s="68" t="s">
        <v>50</v>
      </c>
      <c r="T2" s="69"/>
      <c r="U2" s="70" t="s">
        <v>22</v>
      </c>
      <c r="V2" s="71"/>
      <c r="W2" s="71"/>
      <c r="X2" s="72"/>
      <c r="Y2" s="68" t="s">
        <v>50</v>
      </c>
      <c r="Z2" s="69"/>
      <c r="AA2" s="70" t="s">
        <v>22</v>
      </c>
      <c r="AB2" s="71"/>
      <c r="AC2" s="71"/>
      <c r="AD2" s="72"/>
      <c r="AE2" s="68" t="s">
        <v>50</v>
      </c>
      <c r="AF2" s="69"/>
      <c r="AG2" s="70" t="s">
        <v>22</v>
      </c>
      <c r="AH2" s="71"/>
      <c r="AI2" s="71"/>
      <c r="AJ2" s="72"/>
      <c r="AK2" s="68" t="s">
        <v>50</v>
      </c>
      <c r="AL2" s="69"/>
      <c r="AM2" s="70" t="s">
        <v>22</v>
      </c>
      <c r="AN2" s="71"/>
      <c r="AO2" s="71"/>
      <c r="AP2" s="72"/>
      <c r="AQ2" s="68" t="s">
        <v>50</v>
      </c>
      <c r="AR2" s="69"/>
      <c r="AS2" s="70" t="s">
        <v>22</v>
      </c>
      <c r="AT2" s="71"/>
      <c r="AU2" s="71"/>
      <c r="AV2" s="72"/>
      <c r="AW2" s="68" t="s">
        <v>50</v>
      </c>
      <c r="AX2" s="69"/>
      <c r="AY2" s="70" t="s">
        <v>22</v>
      </c>
      <c r="AZ2" s="71"/>
      <c r="BA2" s="71"/>
      <c r="BB2" s="72"/>
      <c r="BC2" s="68" t="s">
        <v>50</v>
      </c>
      <c r="BD2" s="69"/>
      <c r="BE2" s="70" t="s">
        <v>22</v>
      </c>
      <c r="BF2" s="71"/>
      <c r="BG2" s="71"/>
      <c r="BH2" s="72"/>
      <c r="BI2" s="68" t="s">
        <v>50</v>
      </c>
      <c r="BJ2" s="69"/>
      <c r="BK2" s="70" t="s">
        <v>22</v>
      </c>
      <c r="BL2" s="71"/>
      <c r="BM2" s="71"/>
      <c r="BN2" s="71"/>
      <c r="BO2" s="68" t="s">
        <v>50</v>
      </c>
      <c r="BP2" s="69"/>
      <c r="BQ2" s="70" t="s">
        <v>22</v>
      </c>
      <c r="BR2" s="71"/>
      <c r="BS2" s="71"/>
      <c r="BT2" s="71"/>
    </row>
    <row r="3" spans="1:72" x14ac:dyDescent="0.2">
      <c r="A3" s="73" t="s">
        <v>51</v>
      </c>
      <c r="B3" s="74"/>
      <c r="C3" s="71"/>
      <c r="D3" s="71"/>
      <c r="E3" s="71"/>
      <c r="F3" s="72"/>
      <c r="G3" s="73" t="s">
        <v>51</v>
      </c>
      <c r="H3" s="74"/>
      <c r="I3" s="71"/>
      <c r="J3" s="71"/>
      <c r="K3" s="71"/>
      <c r="L3" s="72"/>
      <c r="M3" s="73" t="s">
        <v>51</v>
      </c>
      <c r="N3" s="74"/>
      <c r="O3" s="71"/>
      <c r="P3" s="71"/>
      <c r="Q3" s="71"/>
      <c r="R3" s="72"/>
      <c r="S3" s="73" t="s">
        <v>51</v>
      </c>
      <c r="T3" s="74"/>
      <c r="U3" s="71"/>
      <c r="V3" s="71"/>
      <c r="W3" s="71"/>
      <c r="X3" s="72"/>
      <c r="Y3" s="73" t="s">
        <v>52</v>
      </c>
      <c r="Z3" s="74"/>
      <c r="AA3" s="71"/>
      <c r="AB3" s="71"/>
      <c r="AC3" s="71"/>
      <c r="AD3" s="72"/>
      <c r="AE3" s="73" t="s">
        <v>53</v>
      </c>
      <c r="AF3" s="74"/>
      <c r="AG3" s="71"/>
      <c r="AH3" s="71"/>
      <c r="AI3" s="71"/>
      <c r="AJ3" s="72"/>
      <c r="AK3" s="73" t="s">
        <v>54</v>
      </c>
      <c r="AL3" s="74"/>
      <c r="AM3" s="71"/>
      <c r="AN3" s="71"/>
      <c r="AO3" s="71"/>
      <c r="AP3" s="72"/>
      <c r="AQ3" s="73" t="s">
        <v>55</v>
      </c>
      <c r="AR3" s="74"/>
      <c r="AS3" s="71"/>
      <c r="AT3" s="71"/>
      <c r="AU3" s="71"/>
      <c r="AV3" s="72"/>
      <c r="AW3" s="73" t="s">
        <v>56</v>
      </c>
      <c r="AX3" s="74"/>
      <c r="AY3" s="71"/>
      <c r="AZ3" s="71"/>
      <c r="BA3" s="71"/>
      <c r="BB3" s="72"/>
      <c r="BC3" s="73" t="s">
        <v>57</v>
      </c>
      <c r="BD3" s="74"/>
      <c r="BE3" s="71"/>
      <c r="BF3" s="71"/>
      <c r="BG3" s="71"/>
      <c r="BH3" s="72"/>
      <c r="BI3" s="73" t="s">
        <v>58</v>
      </c>
      <c r="BJ3" s="74"/>
      <c r="BK3" s="71"/>
      <c r="BL3" s="71"/>
      <c r="BM3" s="71"/>
      <c r="BN3" s="71"/>
      <c r="BO3" s="73" t="s">
        <v>59</v>
      </c>
      <c r="BP3" s="74"/>
      <c r="BQ3" s="71"/>
      <c r="BR3" s="71"/>
      <c r="BS3" s="71"/>
      <c r="BT3" s="71"/>
    </row>
    <row r="4" spans="1:72" ht="20.25" x14ac:dyDescent="0.3">
      <c r="A4" s="149" t="s">
        <v>139</v>
      </c>
      <c r="B4" s="150"/>
      <c r="C4" s="150"/>
      <c r="D4" s="150"/>
      <c r="E4" s="150"/>
      <c r="F4" s="151"/>
      <c r="G4" s="149" t="s">
        <v>128</v>
      </c>
      <c r="H4" s="150"/>
      <c r="I4" s="150"/>
      <c r="J4" s="150"/>
      <c r="K4" s="150"/>
      <c r="L4" s="151"/>
      <c r="M4" s="149" t="s">
        <v>60</v>
      </c>
      <c r="N4" s="150"/>
      <c r="O4" s="150"/>
      <c r="P4" s="150"/>
      <c r="Q4" s="150"/>
      <c r="R4" s="151"/>
      <c r="S4" s="149" t="s">
        <v>61</v>
      </c>
      <c r="T4" s="150"/>
      <c r="U4" s="150"/>
      <c r="V4" s="150"/>
      <c r="W4" s="150"/>
      <c r="X4" s="151"/>
      <c r="Y4" s="149" t="s">
        <v>62</v>
      </c>
      <c r="Z4" s="150"/>
      <c r="AA4" s="150"/>
      <c r="AB4" s="150"/>
      <c r="AC4" s="150"/>
      <c r="AD4" s="151"/>
      <c r="AE4" s="149" t="s">
        <v>63</v>
      </c>
      <c r="AF4" s="150"/>
      <c r="AG4" s="150"/>
      <c r="AH4" s="150"/>
      <c r="AI4" s="150"/>
      <c r="AJ4" s="151"/>
      <c r="AK4" s="149" t="s">
        <v>64</v>
      </c>
      <c r="AL4" s="150"/>
      <c r="AM4" s="150"/>
      <c r="AN4" s="150"/>
      <c r="AO4" s="150"/>
      <c r="AP4" s="151"/>
      <c r="AQ4" s="149" t="s">
        <v>65</v>
      </c>
      <c r="AR4" s="150"/>
      <c r="AS4" s="150"/>
      <c r="AT4" s="150"/>
      <c r="AU4" s="150"/>
      <c r="AV4" s="151"/>
      <c r="AW4" s="149" t="s">
        <v>66</v>
      </c>
      <c r="AX4" s="150"/>
      <c r="AY4" s="150"/>
      <c r="AZ4" s="150"/>
      <c r="BA4" s="150"/>
      <c r="BB4" s="151"/>
      <c r="BC4" s="75"/>
      <c r="BD4" s="150" t="s">
        <v>67</v>
      </c>
      <c r="BE4" s="150"/>
      <c r="BF4" s="150"/>
      <c r="BG4" s="150"/>
      <c r="BH4" s="72"/>
      <c r="BI4" s="75"/>
      <c r="BJ4" s="150" t="s">
        <v>68</v>
      </c>
      <c r="BK4" s="150"/>
      <c r="BL4" s="150"/>
      <c r="BM4" s="150"/>
      <c r="BN4" s="71"/>
      <c r="BO4" s="75"/>
      <c r="BP4" s="150" t="s">
        <v>69</v>
      </c>
      <c r="BQ4" s="150"/>
      <c r="BR4" s="150"/>
      <c r="BS4" s="150"/>
      <c r="BT4" s="71"/>
    </row>
    <row r="5" spans="1:72" x14ac:dyDescent="0.2">
      <c r="A5" s="75"/>
      <c r="B5" s="71"/>
      <c r="C5" s="71"/>
      <c r="D5" s="71"/>
      <c r="E5" s="71"/>
      <c r="F5" s="72"/>
      <c r="G5" s="75"/>
      <c r="H5" s="71"/>
      <c r="I5" s="71"/>
      <c r="J5" s="71"/>
      <c r="K5" s="71"/>
      <c r="L5" s="72"/>
      <c r="M5" s="75"/>
      <c r="N5" s="71"/>
      <c r="O5" s="71"/>
      <c r="P5" s="71"/>
      <c r="Q5" s="71"/>
      <c r="R5" s="72"/>
      <c r="S5" s="75"/>
      <c r="T5" s="71"/>
      <c r="U5" s="71"/>
      <c r="V5" s="71"/>
      <c r="W5" s="71"/>
      <c r="X5" s="72"/>
      <c r="Y5" s="75"/>
      <c r="Z5" s="71"/>
      <c r="AA5" s="71"/>
      <c r="AB5" s="71"/>
      <c r="AC5" s="71"/>
      <c r="AD5" s="72"/>
      <c r="AE5" s="75"/>
      <c r="AF5" s="71"/>
      <c r="AG5" s="71"/>
      <c r="AH5" s="71"/>
      <c r="AI5" s="71"/>
      <c r="AJ5" s="72"/>
      <c r="AK5" s="75"/>
      <c r="AL5" s="71"/>
      <c r="AM5" s="71"/>
      <c r="AN5" s="71"/>
      <c r="AO5" s="71"/>
      <c r="AP5" s="72"/>
      <c r="AQ5" s="75"/>
      <c r="AR5" s="71"/>
      <c r="AS5" s="71"/>
      <c r="AT5" s="71"/>
      <c r="AU5" s="71"/>
      <c r="AV5" s="72"/>
      <c r="AW5" s="75"/>
      <c r="AX5" s="71"/>
      <c r="AY5" s="71"/>
      <c r="AZ5" s="71"/>
      <c r="BA5" s="71"/>
      <c r="BB5" s="72"/>
      <c r="BC5" s="75"/>
      <c r="BD5" s="71"/>
      <c r="BE5" s="71"/>
      <c r="BF5" s="71"/>
      <c r="BG5" s="71"/>
      <c r="BH5" s="72"/>
      <c r="BI5" s="75"/>
      <c r="BJ5" s="71"/>
      <c r="BK5" s="71"/>
      <c r="BL5" s="71"/>
      <c r="BM5" s="71"/>
      <c r="BN5" s="71"/>
      <c r="BO5" s="75"/>
      <c r="BP5" s="71"/>
      <c r="BQ5" s="71"/>
      <c r="BR5" s="71"/>
      <c r="BS5" s="71"/>
      <c r="BT5" s="71"/>
    </row>
    <row r="6" spans="1:72" ht="19.5" x14ac:dyDescent="0.4">
      <c r="A6" s="146" t="s">
        <v>70</v>
      </c>
      <c r="B6" s="147"/>
      <c r="C6" s="147"/>
      <c r="D6" s="147"/>
      <c r="E6" s="147"/>
      <c r="F6" s="148"/>
      <c r="G6" s="146" t="s">
        <v>70</v>
      </c>
      <c r="H6" s="147"/>
      <c r="I6" s="147"/>
      <c r="J6" s="147"/>
      <c r="K6" s="147"/>
      <c r="L6" s="148"/>
      <c r="M6" s="146" t="s">
        <v>70</v>
      </c>
      <c r="N6" s="147"/>
      <c r="O6" s="147"/>
      <c r="P6" s="147"/>
      <c r="Q6" s="147"/>
      <c r="R6" s="148"/>
      <c r="S6" s="146" t="s">
        <v>70</v>
      </c>
      <c r="T6" s="147"/>
      <c r="U6" s="147"/>
      <c r="V6" s="147"/>
      <c r="W6" s="147"/>
      <c r="X6" s="148"/>
      <c r="Y6" s="146" t="s">
        <v>70</v>
      </c>
      <c r="Z6" s="147"/>
      <c r="AA6" s="147"/>
      <c r="AB6" s="147"/>
      <c r="AC6" s="147"/>
      <c r="AD6" s="148"/>
      <c r="AE6" s="146" t="s">
        <v>70</v>
      </c>
      <c r="AF6" s="147"/>
      <c r="AG6" s="147"/>
      <c r="AH6" s="147"/>
      <c r="AI6" s="147"/>
      <c r="AJ6" s="148"/>
      <c r="AK6" s="146" t="s">
        <v>70</v>
      </c>
      <c r="AL6" s="147"/>
      <c r="AM6" s="147"/>
      <c r="AN6" s="147"/>
      <c r="AO6" s="147"/>
      <c r="AP6" s="148"/>
      <c r="AQ6" s="146" t="s">
        <v>70</v>
      </c>
      <c r="AR6" s="147"/>
      <c r="AS6" s="147"/>
      <c r="AT6" s="147"/>
      <c r="AU6" s="147"/>
      <c r="AV6" s="148"/>
      <c r="AW6" s="146" t="s">
        <v>70</v>
      </c>
      <c r="AX6" s="147"/>
      <c r="AY6" s="147"/>
      <c r="AZ6" s="147"/>
      <c r="BA6" s="147"/>
      <c r="BB6" s="148"/>
      <c r="BC6" s="146" t="s">
        <v>70</v>
      </c>
      <c r="BD6" s="147"/>
      <c r="BE6" s="147"/>
      <c r="BF6" s="147"/>
      <c r="BG6" s="147"/>
      <c r="BH6" s="148"/>
      <c r="BI6" s="146" t="s">
        <v>70</v>
      </c>
      <c r="BJ6" s="147"/>
      <c r="BK6" s="147"/>
      <c r="BL6" s="147"/>
      <c r="BM6" s="147"/>
      <c r="BN6" s="147"/>
      <c r="BO6" s="146" t="s">
        <v>70</v>
      </c>
      <c r="BP6" s="147"/>
      <c r="BQ6" s="147"/>
      <c r="BR6" s="147"/>
      <c r="BS6" s="147"/>
      <c r="BT6" s="147"/>
    </row>
    <row r="7" spans="1:72" x14ac:dyDescent="0.2">
      <c r="A7" s="76" t="s">
        <v>71</v>
      </c>
      <c r="B7" s="76"/>
      <c r="C7" s="76"/>
      <c r="D7" s="76"/>
      <c r="E7" s="76"/>
      <c r="F7" s="72"/>
      <c r="G7" s="76" t="s">
        <v>71</v>
      </c>
      <c r="H7" s="76"/>
      <c r="I7" s="76"/>
      <c r="J7" s="76"/>
      <c r="K7" s="76"/>
      <c r="L7" s="72"/>
      <c r="M7" s="76" t="s">
        <v>71</v>
      </c>
      <c r="N7" s="76"/>
      <c r="O7" s="76"/>
      <c r="P7" s="76"/>
      <c r="Q7" s="76"/>
      <c r="R7" s="72"/>
      <c r="S7" s="75"/>
      <c r="T7" s="71"/>
      <c r="U7" s="71"/>
      <c r="V7" s="71"/>
      <c r="W7" s="71"/>
      <c r="X7" s="72"/>
      <c r="Y7" s="75"/>
      <c r="Z7" s="71"/>
      <c r="AA7" s="71"/>
      <c r="AB7" s="71"/>
      <c r="AC7" s="71"/>
      <c r="AD7" s="72"/>
      <c r="AE7" s="75"/>
      <c r="AF7" s="71"/>
      <c r="AG7" s="71"/>
      <c r="AH7" s="71"/>
      <c r="AI7" s="71"/>
      <c r="AJ7" s="72"/>
      <c r="AK7" s="75"/>
      <c r="AL7" s="71"/>
      <c r="AM7" s="71"/>
      <c r="AN7" s="71"/>
      <c r="AO7" s="71"/>
      <c r="AP7" s="72"/>
      <c r="AQ7" s="75"/>
      <c r="AR7" s="71"/>
      <c r="AS7" s="71"/>
      <c r="AT7" s="71"/>
      <c r="AU7" s="71"/>
      <c r="AV7" s="72"/>
      <c r="AW7" s="75"/>
      <c r="AX7" s="71"/>
      <c r="AY7" s="71"/>
      <c r="AZ7" s="71"/>
      <c r="BA7" s="71"/>
      <c r="BB7" s="72"/>
      <c r="BC7" s="75"/>
      <c r="BD7" s="71"/>
      <c r="BE7" s="71"/>
      <c r="BF7" s="71"/>
      <c r="BG7" s="71"/>
      <c r="BH7" s="72"/>
      <c r="BI7" s="75"/>
      <c r="BJ7" s="71"/>
      <c r="BK7" s="71"/>
      <c r="BL7" s="71"/>
      <c r="BM7" s="71"/>
      <c r="BN7" s="71"/>
      <c r="BO7" s="75"/>
      <c r="BP7" s="71"/>
      <c r="BQ7" s="71"/>
      <c r="BR7" s="71"/>
      <c r="BS7" s="71"/>
      <c r="BT7" s="71"/>
    </row>
    <row r="8" spans="1:72" x14ac:dyDescent="0.2">
      <c r="A8" s="75"/>
      <c r="B8" s="71"/>
      <c r="C8" s="77"/>
      <c r="D8" s="77" t="s">
        <v>24</v>
      </c>
      <c r="E8" s="77" t="s">
        <v>26</v>
      </c>
      <c r="F8" s="72"/>
      <c r="G8" s="75"/>
      <c r="H8" s="71"/>
      <c r="I8" s="77"/>
      <c r="J8" s="77" t="s">
        <v>24</v>
      </c>
      <c r="K8" s="77" t="s">
        <v>26</v>
      </c>
      <c r="L8" s="72"/>
      <c r="M8" s="75"/>
      <c r="N8" s="71"/>
      <c r="O8" s="77"/>
      <c r="P8" s="77" t="s">
        <v>24</v>
      </c>
      <c r="Q8" s="77" t="s">
        <v>26</v>
      </c>
      <c r="R8" s="72"/>
      <c r="S8" s="75"/>
      <c r="T8" s="71"/>
      <c r="U8" s="77"/>
      <c r="V8" s="77" t="s">
        <v>24</v>
      </c>
      <c r="W8" s="77" t="s">
        <v>26</v>
      </c>
      <c r="X8" s="72"/>
      <c r="Y8" s="75"/>
      <c r="Z8" s="71"/>
      <c r="AA8" s="77"/>
      <c r="AB8" s="77" t="s">
        <v>24</v>
      </c>
      <c r="AC8" s="77" t="s">
        <v>26</v>
      </c>
      <c r="AD8" s="72"/>
      <c r="AE8" s="75"/>
      <c r="AF8" s="71"/>
      <c r="AG8" s="77"/>
      <c r="AH8" s="77" t="s">
        <v>24</v>
      </c>
      <c r="AI8" s="77" t="s">
        <v>26</v>
      </c>
      <c r="AJ8" s="72"/>
      <c r="AK8" s="75"/>
      <c r="AL8" s="71"/>
      <c r="AM8" s="77"/>
      <c r="AN8" s="77" t="s">
        <v>24</v>
      </c>
      <c r="AO8" s="77" t="s">
        <v>26</v>
      </c>
      <c r="AP8" s="72"/>
      <c r="AQ8" s="75"/>
      <c r="AR8" s="71"/>
      <c r="AS8" s="77"/>
      <c r="AT8" s="77" t="s">
        <v>24</v>
      </c>
      <c r="AU8" s="77" t="s">
        <v>26</v>
      </c>
      <c r="AV8" s="72"/>
      <c r="AW8" s="75"/>
      <c r="AX8" s="71"/>
      <c r="AY8" s="77"/>
      <c r="AZ8" s="77" t="s">
        <v>24</v>
      </c>
      <c r="BA8" s="77" t="s">
        <v>26</v>
      </c>
      <c r="BB8" s="72"/>
      <c r="BC8" s="75"/>
      <c r="BD8" s="71"/>
      <c r="BE8" s="77"/>
      <c r="BF8" s="77" t="s">
        <v>24</v>
      </c>
      <c r="BG8" s="77" t="s">
        <v>26</v>
      </c>
      <c r="BH8" s="72"/>
      <c r="BI8" s="75"/>
      <c r="BJ8" s="71"/>
      <c r="BK8" s="77"/>
      <c r="BL8" s="77" t="s">
        <v>24</v>
      </c>
      <c r="BM8" s="77" t="s">
        <v>26</v>
      </c>
      <c r="BN8" s="71"/>
      <c r="BO8" s="75"/>
      <c r="BP8" s="71"/>
      <c r="BQ8" s="77"/>
      <c r="BR8" s="77" t="s">
        <v>24</v>
      </c>
      <c r="BS8" s="77" t="s">
        <v>26</v>
      </c>
      <c r="BT8" s="71"/>
    </row>
    <row r="9" spans="1:72" x14ac:dyDescent="0.2">
      <c r="A9" s="75"/>
      <c r="B9" s="71"/>
      <c r="C9" s="78" t="s">
        <v>23</v>
      </c>
      <c r="D9" s="78" t="s">
        <v>25</v>
      </c>
      <c r="E9" s="78" t="s">
        <v>72</v>
      </c>
      <c r="F9" s="72"/>
      <c r="G9" s="75"/>
      <c r="H9" s="71"/>
      <c r="I9" s="78" t="s">
        <v>23</v>
      </c>
      <c r="J9" s="78" t="s">
        <v>25</v>
      </c>
      <c r="K9" s="78" t="s">
        <v>72</v>
      </c>
      <c r="L9" s="72"/>
      <c r="M9" s="75"/>
      <c r="N9" s="71"/>
      <c r="O9" s="78" t="s">
        <v>23</v>
      </c>
      <c r="P9" s="78" t="s">
        <v>25</v>
      </c>
      <c r="Q9" s="78" t="s">
        <v>72</v>
      </c>
      <c r="R9" s="72"/>
      <c r="S9" s="75"/>
      <c r="T9" s="71"/>
      <c r="U9" s="78" t="s">
        <v>23</v>
      </c>
      <c r="V9" s="78" t="s">
        <v>25</v>
      </c>
      <c r="W9" s="78" t="s">
        <v>72</v>
      </c>
      <c r="X9" s="72"/>
      <c r="Y9" s="75"/>
      <c r="Z9" s="71"/>
      <c r="AA9" s="78" t="s">
        <v>23</v>
      </c>
      <c r="AB9" s="78" t="s">
        <v>25</v>
      </c>
      <c r="AC9" s="78" t="s">
        <v>72</v>
      </c>
      <c r="AD9" s="72"/>
      <c r="AE9" s="75"/>
      <c r="AF9" s="71"/>
      <c r="AG9" s="78" t="s">
        <v>23</v>
      </c>
      <c r="AH9" s="78" t="s">
        <v>25</v>
      </c>
      <c r="AI9" s="78" t="s">
        <v>72</v>
      </c>
      <c r="AJ9" s="72"/>
      <c r="AK9" s="75"/>
      <c r="AL9" s="71"/>
      <c r="AM9" s="78" t="s">
        <v>23</v>
      </c>
      <c r="AN9" s="78" t="s">
        <v>25</v>
      </c>
      <c r="AO9" s="78" t="s">
        <v>72</v>
      </c>
      <c r="AP9" s="72"/>
      <c r="AQ9" s="75"/>
      <c r="AR9" s="71"/>
      <c r="AS9" s="78" t="s">
        <v>23</v>
      </c>
      <c r="AT9" s="78" t="s">
        <v>25</v>
      </c>
      <c r="AU9" s="78" t="s">
        <v>72</v>
      </c>
      <c r="AV9" s="72"/>
      <c r="AW9" s="75"/>
      <c r="AX9" s="71"/>
      <c r="AY9" s="78" t="s">
        <v>23</v>
      </c>
      <c r="AZ9" s="78" t="s">
        <v>25</v>
      </c>
      <c r="BA9" s="78" t="s">
        <v>72</v>
      </c>
      <c r="BB9" s="72"/>
      <c r="BC9" s="75"/>
      <c r="BD9" s="71"/>
      <c r="BE9" s="78" t="s">
        <v>23</v>
      </c>
      <c r="BF9" s="78" t="s">
        <v>25</v>
      </c>
      <c r="BG9" s="78" t="s">
        <v>72</v>
      </c>
      <c r="BH9" s="72"/>
      <c r="BI9" s="75"/>
      <c r="BJ9" s="71"/>
      <c r="BK9" s="78" t="s">
        <v>23</v>
      </c>
      <c r="BL9" s="78" t="s">
        <v>25</v>
      </c>
      <c r="BM9" s="78" t="s">
        <v>72</v>
      </c>
      <c r="BN9" s="71"/>
      <c r="BO9" s="75"/>
      <c r="BP9" s="71"/>
      <c r="BQ9" s="78" t="s">
        <v>23</v>
      </c>
      <c r="BR9" s="78" t="s">
        <v>25</v>
      </c>
      <c r="BS9" s="78" t="s">
        <v>72</v>
      </c>
      <c r="BT9" s="71"/>
    </row>
    <row r="10" spans="1:72" ht="16.5" x14ac:dyDescent="0.35">
      <c r="A10" s="79" t="s">
        <v>140</v>
      </c>
      <c r="B10" s="80"/>
      <c r="C10" s="81"/>
      <c r="D10" s="81"/>
      <c r="E10" s="81"/>
      <c r="F10" s="72"/>
      <c r="G10" s="79" t="s">
        <v>129</v>
      </c>
      <c r="H10" s="80"/>
      <c r="I10" s="81"/>
      <c r="J10" s="81"/>
      <c r="K10" s="81"/>
      <c r="L10" s="72"/>
      <c r="M10" s="79" t="s">
        <v>73</v>
      </c>
      <c r="N10" s="80"/>
      <c r="O10" s="81"/>
      <c r="P10" s="81"/>
      <c r="Q10" s="81"/>
      <c r="R10" s="72"/>
      <c r="S10" s="79" t="s">
        <v>74</v>
      </c>
      <c r="T10" s="80"/>
      <c r="U10" s="81"/>
      <c r="V10" s="81"/>
      <c r="W10" s="81"/>
      <c r="X10" s="72"/>
      <c r="Y10" s="79" t="s">
        <v>75</v>
      </c>
      <c r="Z10" s="80"/>
      <c r="AA10" s="81"/>
      <c r="AB10" s="81"/>
      <c r="AC10" s="81"/>
      <c r="AD10" s="72"/>
      <c r="AE10" s="79" t="s">
        <v>76</v>
      </c>
      <c r="AF10" s="80"/>
      <c r="AG10" s="81"/>
      <c r="AH10" s="81"/>
      <c r="AI10" s="81"/>
      <c r="AJ10" s="72"/>
      <c r="AK10" s="79" t="s">
        <v>77</v>
      </c>
      <c r="AL10" s="80"/>
      <c r="AM10" s="81"/>
      <c r="AN10" s="81"/>
      <c r="AO10" s="81"/>
      <c r="AP10" s="72"/>
      <c r="AQ10" s="79" t="s">
        <v>78</v>
      </c>
      <c r="AR10" s="80"/>
      <c r="AS10" s="81"/>
      <c r="AT10" s="81"/>
      <c r="AU10" s="81"/>
      <c r="AV10" s="72"/>
      <c r="AW10" s="79" t="s">
        <v>79</v>
      </c>
      <c r="AX10" s="80"/>
      <c r="AY10" s="81"/>
      <c r="AZ10" s="81"/>
      <c r="BA10" s="81"/>
      <c r="BB10" s="72"/>
      <c r="BC10" s="79" t="s">
        <v>80</v>
      </c>
      <c r="BD10" s="80"/>
      <c r="BE10" s="81"/>
      <c r="BF10" s="81"/>
      <c r="BG10" s="81"/>
      <c r="BH10" s="72"/>
      <c r="BI10" s="79" t="s">
        <v>81</v>
      </c>
      <c r="BJ10" s="80"/>
      <c r="BK10" s="81"/>
      <c r="BL10" s="81"/>
      <c r="BM10" s="81"/>
      <c r="BN10" s="71"/>
      <c r="BO10" s="79" t="s">
        <v>82</v>
      </c>
      <c r="BP10" s="80"/>
      <c r="BQ10" s="81"/>
      <c r="BR10" s="81"/>
      <c r="BS10" s="81"/>
      <c r="BT10" s="71"/>
    </row>
    <row r="11" spans="1:72" x14ac:dyDescent="0.2">
      <c r="A11" s="75" t="s">
        <v>83</v>
      </c>
      <c r="B11" s="71"/>
      <c r="C11" s="82">
        <f>'2020 WORKING COPY '!D35</f>
        <v>52954</v>
      </c>
      <c r="D11" s="83">
        <f>J12</f>
        <v>-1.45</v>
      </c>
      <c r="E11" s="127">
        <f>C11*D11</f>
        <v>-76783.3</v>
      </c>
      <c r="F11" s="72"/>
      <c r="G11" s="75" t="s">
        <v>83</v>
      </c>
      <c r="H11" s="71"/>
      <c r="I11" s="82">
        <v>55178</v>
      </c>
      <c r="J11" s="83">
        <f>P12</f>
        <v>-1.31</v>
      </c>
      <c r="K11" s="127">
        <f>I11*J11</f>
        <v>-72283.180000000008</v>
      </c>
      <c r="L11" s="72"/>
      <c r="M11" s="75" t="s">
        <v>83</v>
      </c>
      <c r="N11" s="71"/>
      <c r="O11" s="82">
        <f>'[1]WUTC V.2'!F11</f>
        <v>54477</v>
      </c>
      <c r="P11" s="83">
        <f>V12</f>
        <v>1.3</v>
      </c>
      <c r="Q11" s="82">
        <f>O11*P11</f>
        <v>70820.100000000006</v>
      </c>
      <c r="R11" s="72"/>
      <c r="S11" s="75" t="s">
        <v>84</v>
      </c>
      <c r="T11" s="71"/>
      <c r="U11" s="82">
        <v>54289</v>
      </c>
      <c r="V11" s="84">
        <f>AB12</f>
        <v>0.77</v>
      </c>
      <c r="W11" s="82">
        <f>U11*ROUND(V11,2)</f>
        <v>41802.53</v>
      </c>
      <c r="X11" s="72"/>
      <c r="Y11" s="75" t="s">
        <v>85</v>
      </c>
      <c r="Z11" s="71"/>
      <c r="AA11" s="82">
        <f>SUM('[1]2016 CONFIDENTIAL'!J27:J29)</f>
        <v>52690</v>
      </c>
      <c r="AB11" s="84">
        <f>AH12</f>
        <v>0.77483072475326487</v>
      </c>
      <c r="AC11" s="82">
        <f>AA11*ROUND(AB11,2)</f>
        <v>40571.300000000003</v>
      </c>
      <c r="AD11" s="72"/>
      <c r="AE11" s="75" t="s">
        <v>85</v>
      </c>
      <c r="AF11" s="71"/>
      <c r="AG11" s="82">
        <f>SUM('[2]2015 CONFIDENTIAL'!J27:J29)</f>
        <v>52035</v>
      </c>
      <c r="AH11" s="84">
        <f>AN12</f>
        <v>1.167811982853155</v>
      </c>
      <c r="AI11" s="82">
        <f>AG11*AH11</f>
        <v>60767.096527763919</v>
      </c>
      <c r="AJ11" s="72"/>
      <c r="AK11" s="75" t="s">
        <v>85</v>
      </c>
      <c r="AL11" s="71"/>
      <c r="AM11" s="82">
        <f>SUM(AN35:AN37)</f>
        <v>49422</v>
      </c>
      <c r="AN11" s="84">
        <f>AT12</f>
        <v>1.3336089621271829</v>
      </c>
      <c r="AO11" s="82">
        <f>AM11*AN11</f>
        <v>65909.62212624964</v>
      </c>
      <c r="AP11" s="72"/>
      <c r="AQ11" s="75" t="s">
        <v>85</v>
      </c>
      <c r="AR11" s="71"/>
      <c r="AS11" s="82">
        <f>SUM('[3]2014'!J27:J29)</f>
        <v>49422</v>
      </c>
      <c r="AT11" s="84">
        <f>AZ12</f>
        <v>1.8109831761546775</v>
      </c>
      <c r="AU11" s="82">
        <f>AS11*AT11</f>
        <v>89502.410531916466</v>
      </c>
      <c r="AV11" s="72"/>
      <c r="AW11" s="75" t="s">
        <v>85</v>
      </c>
      <c r="AX11" s="71"/>
      <c r="AY11" s="82">
        <f>SUM('[4]2013'!J27:J29)</f>
        <v>48756</v>
      </c>
      <c r="AZ11" s="84">
        <f>BF12</f>
        <v>1.63</v>
      </c>
      <c r="BA11" s="82">
        <f>AY11*AZ11</f>
        <v>79472.28</v>
      </c>
      <c r="BB11" s="72"/>
      <c r="BC11" s="75" t="s">
        <v>85</v>
      </c>
      <c r="BD11" s="71"/>
      <c r="BE11" s="82">
        <f>16685+16734+16779</f>
        <v>50198</v>
      </c>
      <c r="BF11" s="83">
        <f>BL12</f>
        <v>1.07</v>
      </c>
      <c r="BG11" s="82">
        <f>BE11*BF11</f>
        <v>53711.86</v>
      </c>
      <c r="BH11" s="72"/>
      <c r="BI11" s="75" t="s">
        <v>85</v>
      </c>
      <c r="BJ11" s="71"/>
      <c r="BK11" s="82">
        <f>SUM('[5]2011'!$J$27:$J$29)</f>
        <v>48553</v>
      </c>
      <c r="BL11" s="84">
        <v>1.32</v>
      </c>
      <c r="BM11" s="82">
        <f>BK11*BL11</f>
        <v>64089.960000000006</v>
      </c>
      <c r="BN11" s="71"/>
      <c r="BO11" s="75" t="s">
        <v>85</v>
      </c>
      <c r="BP11" s="71"/>
      <c r="BQ11" s="82">
        <f>48689</f>
        <v>48689</v>
      </c>
      <c r="BR11" s="84">
        <v>2.25</v>
      </c>
      <c r="BS11" s="82">
        <f>BQ11*BR11</f>
        <v>109550.25</v>
      </c>
      <c r="BT11" s="71"/>
    </row>
    <row r="12" spans="1:72" ht="15" x14ac:dyDescent="0.35">
      <c r="A12" s="75" t="s">
        <v>28</v>
      </c>
      <c r="B12" s="85"/>
      <c r="C12" s="86">
        <f>'2020 WORKING COPY '!D40</f>
        <v>142848</v>
      </c>
      <c r="D12" s="83">
        <f>ROUND(L25,2)</f>
        <v>-1.88</v>
      </c>
      <c r="E12" s="128">
        <f>C12*D12</f>
        <v>-268554.23999999999</v>
      </c>
      <c r="F12" s="72"/>
      <c r="G12" s="75" t="s">
        <v>28</v>
      </c>
      <c r="H12" s="85"/>
      <c r="I12" s="86">
        <v>161063</v>
      </c>
      <c r="J12" s="83">
        <f>ROUND(R25,2)</f>
        <v>-1.45</v>
      </c>
      <c r="K12" s="128">
        <f>I12*J12</f>
        <v>-233541.35</v>
      </c>
      <c r="L12" s="72"/>
      <c r="M12" s="75" t="s">
        <v>28</v>
      </c>
      <c r="N12" s="85"/>
      <c r="O12" s="86">
        <f>'[1]WUTC V.2'!F12</f>
        <v>165102</v>
      </c>
      <c r="P12" s="83">
        <f>ROUND(X25,2)</f>
        <v>-1.31</v>
      </c>
      <c r="Q12" s="86">
        <f>O12*P12</f>
        <v>-216283.62</v>
      </c>
      <c r="R12" s="72"/>
      <c r="S12" s="75" t="s">
        <v>86</v>
      </c>
      <c r="T12" s="85"/>
      <c r="U12" s="86">
        <v>161652</v>
      </c>
      <c r="V12" s="84">
        <f>ROUND(AD25,2)</f>
        <v>1.3</v>
      </c>
      <c r="W12" s="86">
        <f>U12*V12</f>
        <v>210147.6</v>
      </c>
      <c r="X12" s="72"/>
      <c r="Y12" s="75" t="s">
        <v>28</v>
      </c>
      <c r="Z12" s="85"/>
      <c r="AA12" s="86">
        <f>SUM('[1]2016 CONFIDENTIAL'!J30:J38)</f>
        <v>158013</v>
      </c>
      <c r="AB12" s="84">
        <f>ROUND(AJ25,2)</f>
        <v>0.77</v>
      </c>
      <c r="AC12" s="86">
        <f>AA12*AB12</f>
        <v>121670.01000000001</v>
      </c>
      <c r="AD12" s="72"/>
      <c r="AE12" s="75" t="s">
        <v>28</v>
      </c>
      <c r="AF12" s="85"/>
      <c r="AG12" s="86">
        <f>SUM('[2]2015 CONFIDENTIAL'!J30:J38)</f>
        <v>156749</v>
      </c>
      <c r="AH12" s="84">
        <f>AP25</f>
        <v>0.77483072475326487</v>
      </c>
      <c r="AI12" s="86">
        <f>AG12*AH12</f>
        <v>121453.94127434952</v>
      </c>
      <c r="AJ12" s="72"/>
      <c r="AK12" s="75" t="s">
        <v>28</v>
      </c>
      <c r="AL12" s="85"/>
      <c r="AM12" s="86">
        <f>SUM(AN38:AN46)</f>
        <v>151198</v>
      </c>
      <c r="AN12" s="84">
        <f>AV25</f>
        <v>1.167811982853155</v>
      </c>
      <c r="AO12" s="86">
        <f>AM12*AN12</f>
        <v>176570.83618343133</v>
      </c>
      <c r="AP12" s="72"/>
      <c r="AQ12" s="75" t="s">
        <v>28</v>
      </c>
      <c r="AR12" s="85"/>
      <c r="AS12" s="86">
        <f>SUM('[3]2014'!J30:J38)</f>
        <v>151198</v>
      </c>
      <c r="AT12" s="84">
        <f>BB25</f>
        <v>1.3336089621271829</v>
      </c>
      <c r="AU12" s="86">
        <f>AS12*AT12</f>
        <v>201639.0078557058</v>
      </c>
      <c r="AV12" s="72"/>
      <c r="AW12" s="75" t="s">
        <v>28</v>
      </c>
      <c r="AX12" s="85"/>
      <c r="AY12" s="86">
        <f>SUM('[4]2013'!J30:J38)</f>
        <v>144100</v>
      </c>
      <c r="AZ12" s="84">
        <f>BH25</f>
        <v>1.8109831761546775</v>
      </c>
      <c r="BA12" s="86">
        <f>AY12*AZ12</f>
        <v>260962.67568388904</v>
      </c>
      <c r="BB12" s="72"/>
      <c r="BC12" s="75" t="s">
        <v>28</v>
      </c>
      <c r="BD12" s="85"/>
      <c r="BE12" s="86">
        <f>16841+16850+16846+16776+16737+16640+16627+16602+16610</f>
        <v>150529</v>
      </c>
      <c r="BF12" s="84">
        <f>BN25</f>
        <v>1.63</v>
      </c>
      <c r="BG12" s="86">
        <f>BE12*BF12</f>
        <v>245362.27</v>
      </c>
      <c r="BH12" s="72"/>
      <c r="BI12" s="75" t="s">
        <v>28</v>
      </c>
      <c r="BJ12" s="85"/>
      <c r="BK12" s="86">
        <f>SUM('[5]2011'!$J$30:$J$38)</f>
        <v>149842</v>
      </c>
      <c r="BL12" s="84">
        <v>1.07</v>
      </c>
      <c r="BM12" s="86">
        <f>BK12*BL12</f>
        <v>160330.94</v>
      </c>
      <c r="BN12" s="71"/>
      <c r="BO12" s="75" t="s">
        <v>28</v>
      </c>
      <c r="BP12" s="85"/>
      <c r="BQ12" s="86">
        <f>145337</f>
        <v>145337</v>
      </c>
      <c r="BR12" s="84">
        <v>1.32</v>
      </c>
      <c r="BS12" s="86">
        <f>BQ12*BR12</f>
        <v>191844.84</v>
      </c>
      <c r="BT12" s="71"/>
    </row>
    <row r="13" spans="1:72" x14ac:dyDescent="0.2">
      <c r="A13" s="75" t="s">
        <v>26</v>
      </c>
      <c r="B13" s="71"/>
      <c r="C13" s="82">
        <f>SUM(C11:C12)</f>
        <v>195802</v>
      </c>
      <c r="D13" s="71"/>
      <c r="E13" s="127">
        <f>SUM(E11:E12)</f>
        <v>-345337.54</v>
      </c>
      <c r="F13" s="72"/>
      <c r="G13" s="75" t="s">
        <v>26</v>
      </c>
      <c r="H13" s="71"/>
      <c r="I13" s="82">
        <f>SUM(I11:I12)</f>
        <v>216241</v>
      </c>
      <c r="J13" s="71"/>
      <c r="K13" s="127">
        <f>SUM(K11:K12)</f>
        <v>-305824.53000000003</v>
      </c>
      <c r="L13" s="72"/>
      <c r="M13" s="75" t="s">
        <v>26</v>
      </c>
      <c r="N13" s="71"/>
      <c r="O13" s="82">
        <f>SUM(O11:O12)</f>
        <v>219579</v>
      </c>
      <c r="P13" s="71"/>
      <c r="Q13" s="82">
        <f>SUM(Q11:Q12)</f>
        <v>-145463.51999999999</v>
      </c>
      <c r="R13" s="72"/>
      <c r="S13" s="75" t="s">
        <v>26</v>
      </c>
      <c r="T13" s="71"/>
      <c r="U13" s="82">
        <f>SUM(U11:U12)</f>
        <v>215941</v>
      </c>
      <c r="V13" s="71"/>
      <c r="W13" s="82">
        <f>SUM(W11:W12)</f>
        <v>251950.13</v>
      </c>
      <c r="X13" s="72"/>
      <c r="Y13" s="75" t="s">
        <v>26</v>
      </c>
      <c r="Z13" s="71"/>
      <c r="AA13" s="82">
        <f>SUM(AA11:AA12)</f>
        <v>210703</v>
      </c>
      <c r="AB13" s="71"/>
      <c r="AC13" s="82">
        <f>SUM(AC11:AC12)</f>
        <v>162241.31</v>
      </c>
      <c r="AD13" s="72"/>
      <c r="AE13" s="75" t="s">
        <v>26</v>
      </c>
      <c r="AF13" s="71"/>
      <c r="AG13" s="82">
        <f>SUM(AG11:AG12)</f>
        <v>208784</v>
      </c>
      <c r="AH13" s="71"/>
      <c r="AI13" s="82">
        <f>SUM(AI11:AI12)</f>
        <v>182221.03780211345</v>
      </c>
      <c r="AJ13" s="72"/>
      <c r="AK13" s="75" t="s">
        <v>26</v>
      </c>
      <c r="AL13" s="71"/>
      <c r="AM13" s="82">
        <f>SUM(AM11:AM12)</f>
        <v>200620</v>
      </c>
      <c r="AN13" s="71"/>
      <c r="AO13" s="82">
        <f>SUM(AO11:AO12)</f>
        <v>242480.45830968098</v>
      </c>
      <c r="AP13" s="72"/>
      <c r="AQ13" s="75" t="s">
        <v>26</v>
      </c>
      <c r="AR13" s="71"/>
      <c r="AS13" s="82">
        <f>SUM(AS11:AS12)</f>
        <v>200620</v>
      </c>
      <c r="AT13" s="71"/>
      <c r="AU13" s="82">
        <f>SUM(AU11:AU12)</f>
        <v>291141.41838762228</v>
      </c>
      <c r="AV13" s="72"/>
      <c r="AW13" s="75" t="s">
        <v>26</v>
      </c>
      <c r="AX13" s="71"/>
      <c r="AY13" s="82">
        <f>SUM(AY11:AY12)</f>
        <v>192856</v>
      </c>
      <c r="AZ13" s="71"/>
      <c r="BA13" s="82">
        <f>SUM(BA11:BA12)</f>
        <v>340434.95568388904</v>
      </c>
      <c r="BB13" s="72"/>
      <c r="BC13" s="75" t="s">
        <v>26</v>
      </c>
      <c r="BD13" s="71"/>
      <c r="BE13" s="82">
        <f>SUM(BE11:BE12)</f>
        <v>200727</v>
      </c>
      <c r="BF13" s="71"/>
      <c r="BG13" s="82">
        <f>SUM(BG11:BG12)</f>
        <v>299074.13</v>
      </c>
      <c r="BH13" s="72"/>
      <c r="BI13" s="75" t="s">
        <v>26</v>
      </c>
      <c r="BJ13" s="71"/>
      <c r="BK13" s="82">
        <f>SUM(BK11:BK12)</f>
        <v>198395</v>
      </c>
      <c r="BL13" s="71"/>
      <c r="BM13" s="82">
        <f>SUM(BM11:BM12)</f>
        <v>224420.90000000002</v>
      </c>
      <c r="BN13" s="71"/>
      <c r="BO13" s="75" t="s">
        <v>26</v>
      </c>
      <c r="BP13" s="71"/>
      <c r="BQ13" s="82">
        <f>SUM(BQ11:BQ12)</f>
        <v>194026</v>
      </c>
      <c r="BR13" s="71"/>
      <c r="BS13" s="82">
        <f>SUM(BS11:BS12)</f>
        <v>301395.08999999997</v>
      </c>
      <c r="BT13" s="71"/>
    </row>
    <row r="14" spans="1:72" x14ac:dyDescent="0.2">
      <c r="A14" s="75"/>
      <c r="B14" s="71"/>
      <c r="C14" s="71"/>
      <c r="D14" s="71"/>
      <c r="E14" s="71"/>
      <c r="F14" s="72"/>
      <c r="G14" s="75"/>
      <c r="H14" s="71"/>
      <c r="I14" s="71"/>
      <c r="J14" s="71"/>
      <c r="K14" s="71"/>
      <c r="L14" s="72"/>
      <c r="M14" s="75"/>
      <c r="N14" s="71"/>
      <c r="O14" s="71"/>
      <c r="P14" s="71"/>
      <c r="Q14" s="71"/>
      <c r="R14" s="72"/>
      <c r="S14" s="75"/>
      <c r="T14" s="71"/>
      <c r="U14" s="71"/>
      <c r="V14" s="71"/>
      <c r="W14" s="71"/>
      <c r="X14" s="72"/>
      <c r="Y14" s="75"/>
      <c r="Z14" s="71"/>
      <c r="AA14" s="71"/>
      <c r="AB14" s="71"/>
      <c r="AC14" s="71"/>
      <c r="AD14" s="72"/>
      <c r="AE14" s="75"/>
      <c r="AF14" s="71"/>
      <c r="AG14" s="71"/>
      <c r="AH14" s="71"/>
      <c r="AI14" s="71"/>
      <c r="AJ14" s="72"/>
      <c r="AK14" s="75"/>
      <c r="AL14" s="71"/>
      <c r="AM14" s="71"/>
      <c r="AN14" s="71"/>
      <c r="AO14" s="71"/>
      <c r="AP14" s="72"/>
      <c r="AQ14" s="75"/>
      <c r="AR14" s="71"/>
      <c r="AS14" s="71"/>
      <c r="AT14" s="71"/>
      <c r="AU14" s="71"/>
      <c r="AV14" s="72"/>
      <c r="AW14" s="75"/>
      <c r="AX14" s="71"/>
      <c r="AY14" s="71"/>
      <c r="AZ14" s="71"/>
      <c r="BA14" s="71"/>
      <c r="BB14" s="72"/>
      <c r="BC14" s="75"/>
      <c r="BD14" s="71"/>
      <c r="BE14" s="71"/>
      <c r="BF14" s="71"/>
      <c r="BG14" s="71"/>
      <c r="BH14" s="72"/>
      <c r="BI14" s="75"/>
      <c r="BJ14" s="71"/>
      <c r="BK14" s="71"/>
      <c r="BL14" s="71"/>
      <c r="BM14" s="71"/>
      <c r="BN14" s="71"/>
      <c r="BO14" s="75"/>
      <c r="BP14" s="71"/>
      <c r="BQ14" s="71"/>
      <c r="BR14" s="71"/>
      <c r="BS14" s="71"/>
      <c r="BT14" s="71"/>
    </row>
    <row r="15" spans="1:72" x14ac:dyDescent="0.2">
      <c r="A15" s="75" t="s">
        <v>87</v>
      </c>
      <c r="B15" s="71"/>
      <c r="C15" s="71"/>
      <c r="D15" s="71"/>
      <c r="E15" s="126">
        <f>'2020 WORKING COPY '!N25</f>
        <v>-334562.73435199994</v>
      </c>
      <c r="F15" s="72"/>
      <c r="G15" s="75" t="s">
        <v>87</v>
      </c>
      <c r="H15" s="71"/>
      <c r="I15" s="71"/>
      <c r="J15" s="71"/>
      <c r="K15" s="126">
        <v>-406325</v>
      </c>
      <c r="L15" s="72"/>
      <c r="M15" s="75" t="s">
        <v>87</v>
      </c>
      <c r="N15" s="71"/>
      <c r="O15" s="71"/>
      <c r="P15" s="71"/>
      <c r="Q15" s="87">
        <f>'[1]2019 WORKING COPY V.3'!N20</f>
        <v>-318464.90950000001</v>
      </c>
      <c r="R15" s="72"/>
      <c r="S15" s="75" t="s">
        <v>87</v>
      </c>
      <c r="T15" s="71"/>
      <c r="U15" s="71"/>
      <c r="V15" s="71"/>
      <c r="W15" s="82">
        <f>-'[1]2018 Staff Worksheet'!M11</f>
        <v>-201608.4904801136</v>
      </c>
      <c r="X15" s="72"/>
      <c r="Y15" s="75" t="s">
        <v>87</v>
      </c>
      <c r="Z15" s="71"/>
      <c r="AA15" s="71"/>
      <c r="AB15" s="71"/>
      <c r="AC15" s="82">
        <f>'[1]2016 CONFIDENTIAL'!N20</f>
        <v>274837.78000000003</v>
      </c>
      <c r="AD15" s="72"/>
      <c r="AE15" s="75" t="s">
        <v>87</v>
      </c>
      <c r="AF15" s="71"/>
      <c r="AG15" s="71"/>
      <c r="AH15" s="71"/>
      <c r="AI15" s="82">
        <f>'[2]2015 CONFIDENTIAL'!N20</f>
        <v>159977.75</v>
      </c>
      <c r="AJ15" s="72"/>
      <c r="AK15" s="75" t="s">
        <v>87</v>
      </c>
      <c r="AL15" s="71"/>
      <c r="AM15" s="71"/>
      <c r="AN15" s="71"/>
      <c r="AO15" s="82">
        <f>AM48</f>
        <v>155446.54</v>
      </c>
      <c r="AP15" s="72"/>
      <c r="AQ15" s="75" t="s">
        <v>87</v>
      </c>
      <c r="AR15" s="71"/>
      <c r="AS15" s="71"/>
      <c r="AT15" s="71"/>
      <c r="AU15" s="82">
        <f>'[3]2014'!N20</f>
        <v>234286.43999999997</v>
      </c>
      <c r="AV15" s="72"/>
      <c r="AW15" s="75" t="s">
        <v>87</v>
      </c>
      <c r="AX15" s="71"/>
      <c r="AY15" s="71"/>
      <c r="AZ15" s="71"/>
      <c r="BA15" s="82">
        <f>'[4]2013'!F39</f>
        <v>257194.49</v>
      </c>
      <c r="BB15" s="72"/>
      <c r="BC15" s="68" t="s">
        <v>88</v>
      </c>
      <c r="BD15" s="71"/>
      <c r="BE15" s="71"/>
      <c r="BF15" s="71"/>
      <c r="BG15" s="82">
        <f>363513.22</f>
        <v>363513.22</v>
      </c>
      <c r="BH15" s="72"/>
      <c r="BI15" s="68" t="s">
        <v>88</v>
      </c>
      <c r="BJ15" s="71"/>
      <c r="BK15" s="71"/>
      <c r="BL15" s="71"/>
      <c r="BM15" s="82">
        <f>'[5]2011'!$F$39</f>
        <v>322653.09000000003</v>
      </c>
      <c r="BN15" s="71"/>
      <c r="BO15" s="68" t="s">
        <v>88</v>
      </c>
      <c r="BP15" s="71"/>
      <c r="BQ15" s="71"/>
      <c r="BR15" s="71"/>
      <c r="BS15" s="82">
        <f>207403.15</f>
        <v>207403.15</v>
      </c>
      <c r="BT15" s="71"/>
    </row>
    <row r="16" spans="1:72" x14ac:dyDescent="0.2">
      <c r="A16" s="75"/>
      <c r="B16" s="71"/>
      <c r="C16" s="71"/>
      <c r="D16" s="71"/>
      <c r="E16" s="71"/>
      <c r="F16" s="72"/>
      <c r="G16" s="75"/>
      <c r="H16" s="71"/>
      <c r="I16" s="71"/>
      <c r="J16" s="71"/>
      <c r="K16" s="71"/>
      <c r="L16" s="72"/>
      <c r="M16" s="75"/>
      <c r="N16" s="71"/>
      <c r="O16" s="71"/>
      <c r="P16" s="71"/>
      <c r="Q16" s="71"/>
      <c r="R16" s="72"/>
      <c r="S16" s="75"/>
      <c r="T16" s="71"/>
      <c r="U16" s="71"/>
      <c r="V16" s="71"/>
      <c r="W16" s="71"/>
      <c r="X16" s="72"/>
      <c r="Y16" s="75"/>
      <c r="Z16" s="71"/>
      <c r="AA16" s="71"/>
      <c r="AB16" s="71"/>
      <c r="AC16" s="71"/>
      <c r="AD16" s="72"/>
      <c r="AE16" s="75"/>
      <c r="AF16" s="71"/>
      <c r="AG16" s="71"/>
      <c r="AH16" s="71"/>
      <c r="AI16" s="71"/>
      <c r="AJ16" s="72"/>
      <c r="AK16" s="75"/>
      <c r="AL16" s="71"/>
      <c r="AM16" s="71"/>
      <c r="AN16" s="71"/>
      <c r="AO16" s="71"/>
      <c r="AP16" s="72"/>
      <c r="AQ16" s="75"/>
      <c r="AR16" s="71"/>
      <c r="AS16" s="71"/>
      <c r="AT16" s="71"/>
      <c r="AU16" s="71"/>
      <c r="AV16" s="72"/>
      <c r="AW16" s="75"/>
      <c r="AX16" s="71"/>
      <c r="AY16" s="71"/>
      <c r="AZ16" s="71"/>
      <c r="BA16" s="71"/>
      <c r="BB16" s="72"/>
      <c r="BC16" s="75"/>
      <c r="BD16" s="71"/>
      <c r="BE16" s="71"/>
      <c r="BF16" s="71"/>
      <c r="BG16" s="71"/>
      <c r="BH16" s="72"/>
      <c r="BI16" s="75"/>
      <c r="BJ16" s="71"/>
      <c r="BK16" s="71"/>
      <c r="BL16" s="71"/>
      <c r="BM16" s="71"/>
      <c r="BN16" s="71"/>
      <c r="BO16" s="75"/>
      <c r="BP16" s="71"/>
      <c r="BQ16" s="71"/>
      <c r="BR16" s="71"/>
      <c r="BS16" s="71"/>
      <c r="BT16" s="71"/>
    </row>
    <row r="17" spans="1:72" x14ac:dyDescent="0.2">
      <c r="A17" s="75" t="s">
        <v>89</v>
      </c>
      <c r="B17" s="71"/>
      <c r="C17" s="71"/>
      <c r="D17" s="71"/>
      <c r="E17" s="127">
        <f>E15-E13</f>
        <v>10774.805648000038</v>
      </c>
      <c r="F17" s="72"/>
      <c r="G17" s="75" t="s">
        <v>89</v>
      </c>
      <c r="H17" s="71"/>
      <c r="I17" s="71"/>
      <c r="J17" s="71"/>
      <c r="K17" s="127">
        <v>-100500</v>
      </c>
      <c r="L17" s="72"/>
      <c r="M17" s="75" t="s">
        <v>89</v>
      </c>
      <c r="N17" s="71"/>
      <c r="O17" s="71"/>
      <c r="P17" s="71"/>
      <c r="Q17" s="82">
        <f>Q15-Q13</f>
        <v>-173001.38950000002</v>
      </c>
      <c r="R17" s="72"/>
      <c r="S17" s="75" t="s">
        <v>89</v>
      </c>
      <c r="T17" s="71"/>
      <c r="U17" s="71"/>
      <c r="V17" s="71"/>
      <c r="W17" s="82">
        <f>W15-W13</f>
        <v>-453558.6204801136</v>
      </c>
      <c r="X17" s="72"/>
      <c r="Y17" s="75" t="s">
        <v>89</v>
      </c>
      <c r="Z17" s="71"/>
      <c r="AA17" s="71"/>
      <c r="AB17" s="71"/>
      <c r="AC17" s="82">
        <f>AC15-AC13</f>
        <v>112596.47000000003</v>
      </c>
      <c r="AD17" s="72"/>
      <c r="AE17" s="75" t="s">
        <v>89</v>
      </c>
      <c r="AF17" s="71"/>
      <c r="AG17" s="71"/>
      <c r="AH17" s="71"/>
      <c r="AI17" s="82">
        <f>AI15-AI13</f>
        <v>-22243.287802113453</v>
      </c>
      <c r="AJ17" s="72"/>
      <c r="AK17" s="75" t="s">
        <v>89</v>
      </c>
      <c r="AL17" s="71"/>
      <c r="AM17" s="71"/>
      <c r="AN17" s="71"/>
      <c r="AO17" s="82">
        <f>AO15-AO13</f>
        <v>-87033.918309680972</v>
      </c>
      <c r="AP17" s="72"/>
      <c r="AQ17" s="75" t="s">
        <v>89</v>
      </c>
      <c r="AR17" s="71"/>
      <c r="AS17" s="71"/>
      <c r="AT17" s="71"/>
      <c r="AU17" s="82">
        <f>AU15-AU13</f>
        <v>-56854.978387622308</v>
      </c>
      <c r="AV17" s="72"/>
      <c r="AW17" s="75" t="s">
        <v>89</v>
      </c>
      <c r="AX17" s="71"/>
      <c r="AY17" s="71"/>
      <c r="AZ17" s="71"/>
      <c r="BA17" s="82">
        <f>BA15-BA13</f>
        <v>-83240.465683889051</v>
      </c>
      <c r="BB17" s="72"/>
      <c r="BC17" s="75" t="s">
        <v>89</v>
      </c>
      <c r="BD17" s="71"/>
      <c r="BE17" s="71"/>
      <c r="BF17" s="71"/>
      <c r="BG17" s="88">
        <f>+BG15-BG13</f>
        <v>64439.089999999967</v>
      </c>
      <c r="BH17" s="72"/>
      <c r="BI17" s="75" t="s">
        <v>89</v>
      </c>
      <c r="BJ17" s="71"/>
      <c r="BK17" s="71"/>
      <c r="BL17" s="71"/>
      <c r="BM17" s="82">
        <f>+BM15-BM13</f>
        <v>98232.19</v>
      </c>
      <c r="BN17" s="71"/>
      <c r="BO17" s="75" t="s">
        <v>89</v>
      </c>
      <c r="BP17" s="71"/>
      <c r="BQ17" s="71"/>
      <c r="BR17" s="71"/>
      <c r="BS17" s="82">
        <f>+BS15-BS13</f>
        <v>-93991.939999999973</v>
      </c>
      <c r="BT17" s="71"/>
    </row>
    <row r="18" spans="1:72" x14ac:dyDescent="0.2">
      <c r="A18" s="75"/>
      <c r="B18" s="71"/>
      <c r="C18" s="71"/>
      <c r="D18" s="71"/>
      <c r="E18" s="71"/>
      <c r="F18" s="72"/>
      <c r="G18" s="75"/>
      <c r="H18" s="71"/>
      <c r="I18" s="71"/>
      <c r="J18" s="71"/>
      <c r="K18" s="71"/>
      <c r="L18" s="72"/>
      <c r="M18" s="75"/>
      <c r="N18" s="71"/>
      <c r="O18" s="71"/>
      <c r="P18" s="71"/>
      <c r="Q18" s="71"/>
      <c r="R18" s="72"/>
      <c r="S18" s="75"/>
      <c r="T18" s="71"/>
      <c r="U18" s="71"/>
      <c r="V18" s="71"/>
      <c r="W18" s="71"/>
      <c r="X18" s="72"/>
      <c r="Y18" s="75"/>
      <c r="Z18" s="71"/>
      <c r="AA18" s="71"/>
      <c r="AB18" s="71"/>
      <c r="AC18" s="71"/>
      <c r="AD18" s="72"/>
      <c r="AE18" s="75"/>
      <c r="AF18" s="71"/>
      <c r="AG18" s="71"/>
      <c r="AH18" s="71"/>
      <c r="AI18" s="71"/>
      <c r="AJ18" s="72"/>
      <c r="AK18" s="75"/>
      <c r="AL18" s="71"/>
      <c r="AM18" s="71"/>
      <c r="AN18" s="71"/>
      <c r="AO18" s="71"/>
      <c r="AP18" s="72"/>
      <c r="AQ18" s="75"/>
      <c r="AR18" s="71"/>
      <c r="AS18" s="71"/>
      <c r="AT18" s="71"/>
      <c r="AU18" s="71"/>
      <c r="AV18" s="72"/>
      <c r="AW18" s="75"/>
      <c r="AX18" s="71"/>
      <c r="AY18" s="71"/>
      <c r="AZ18" s="71"/>
      <c r="BA18" s="71"/>
      <c r="BB18" s="72"/>
      <c r="BC18" s="75"/>
      <c r="BD18" s="71"/>
      <c r="BE18" s="71"/>
      <c r="BF18" s="71"/>
      <c r="BG18" s="71"/>
      <c r="BH18" s="72"/>
      <c r="BI18" s="75"/>
      <c r="BJ18" s="71"/>
      <c r="BK18" s="71"/>
      <c r="BL18" s="71"/>
      <c r="BM18" s="71"/>
      <c r="BN18" s="71"/>
      <c r="BO18" s="75"/>
      <c r="BP18" s="71"/>
      <c r="BQ18" s="71"/>
      <c r="BR18" s="71"/>
      <c r="BS18" s="71"/>
      <c r="BT18" s="71"/>
    </row>
    <row r="19" spans="1:72" x14ac:dyDescent="0.2">
      <c r="A19" s="75" t="s">
        <v>29</v>
      </c>
      <c r="B19" s="71"/>
      <c r="C19" s="71"/>
      <c r="D19" s="71"/>
      <c r="E19" s="82">
        <f>C13</f>
        <v>195802</v>
      </c>
      <c r="F19" s="72"/>
      <c r="G19" s="75" t="s">
        <v>29</v>
      </c>
      <c r="H19" s="71"/>
      <c r="I19" s="71"/>
      <c r="J19" s="71"/>
      <c r="K19" s="82">
        <f>I13</f>
        <v>216241</v>
      </c>
      <c r="L19" s="72"/>
      <c r="M19" s="75" t="s">
        <v>29</v>
      </c>
      <c r="N19" s="71"/>
      <c r="O19" s="71"/>
      <c r="P19" s="71"/>
      <c r="Q19" s="82">
        <f>O13</f>
        <v>219579</v>
      </c>
      <c r="R19" s="72"/>
      <c r="S19" s="75" t="s">
        <v>29</v>
      </c>
      <c r="T19" s="71"/>
      <c r="U19" s="71"/>
      <c r="V19" s="71"/>
      <c r="W19" s="82">
        <f>U13</f>
        <v>215941</v>
      </c>
      <c r="X19" s="72"/>
      <c r="Y19" s="75" t="s">
        <v>29</v>
      </c>
      <c r="Z19" s="71"/>
      <c r="AA19" s="71"/>
      <c r="AB19" s="71"/>
      <c r="AC19" s="82">
        <f>AA13</f>
        <v>210703</v>
      </c>
      <c r="AD19" s="72"/>
      <c r="AE19" s="75" t="s">
        <v>29</v>
      </c>
      <c r="AF19" s="71"/>
      <c r="AG19" s="71"/>
      <c r="AH19" s="71"/>
      <c r="AI19" s="82">
        <f>AG13</f>
        <v>208784</v>
      </c>
      <c r="AJ19" s="72"/>
      <c r="AK19" s="75" t="s">
        <v>29</v>
      </c>
      <c r="AL19" s="71"/>
      <c r="AM19" s="71"/>
      <c r="AN19" s="71"/>
      <c r="AO19" s="82">
        <f>AM13</f>
        <v>200620</v>
      </c>
      <c r="AP19" s="72"/>
      <c r="AQ19" s="75" t="s">
        <v>29</v>
      </c>
      <c r="AR19" s="71"/>
      <c r="AS19" s="71"/>
      <c r="AT19" s="71"/>
      <c r="AU19" s="82">
        <f>AS13</f>
        <v>200620</v>
      </c>
      <c r="AV19" s="72"/>
      <c r="AW19" s="75" t="s">
        <v>29</v>
      </c>
      <c r="AX19" s="71"/>
      <c r="AY19" s="71"/>
      <c r="AZ19" s="71"/>
      <c r="BA19" s="82">
        <f>AY13</f>
        <v>192856</v>
      </c>
      <c r="BB19" s="72"/>
      <c r="BC19" s="75" t="s">
        <v>30</v>
      </c>
      <c r="BD19" s="71"/>
      <c r="BE19" s="71"/>
      <c r="BF19" s="71"/>
      <c r="BG19" s="82">
        <f>+BE13</f>
        <v>200727</v>
      </c>
      <c r="BH19" s="72"/>
      <c r="BI19" s="75" t="s">
        <v>30</v>
      </c>
      <c r="BJ19" s="71"/>
      <c r="BK19" s="71"/>
      <c r="BL19" s="71"/>
      <c r="BM19" s="82">
        <f>+BK13</f>
        <v>198395</v>
      </c>
      <c r="BN19" s="71"/>
      <c r="BO19" s="75" t="s">
        <v>30</v>
      </c>
      <c r="BP19" s="71"/>
      <c r="BQ19" s="71"/>
      <c r="BR19" s="71"/>
      <c r="BS19" s="82">
        <f>+BQ13</f>
        <v>194026</v>
      </c>
      <c r="BT19" s="71"/>
    </row>
    <row r="20" spans="1:72" x14ac:dyDescent="0.2">
      <c r="A20" s="75"/>
      <c r="B20" s="71"/>
      <c r="C20" s="71"/>
      <c r="D20" s="71"/>
      <c r="E20" s="71"/>
      <c r="F20" s="72"/>
      <c r="G20" s="75"/>
      <c r="H20" s="71"/>
      <c r="I20" s="71"/>
      <c r="J20" s="71"/>
      <c r="K20" s="71"/>
      <c r="L20" s="72"/>
      <c r="M20" s="75"/>
      <c r="N20" s="71"/>
      <c r="O20" s="71"/>
      <c r="P20" s="71"/>
      <c r="Q20" s="71"/>
      <c r="R20" s="72"/>
      <c r="S20" s="75"/>
      <c r="T20" s="71"/>
      <c r="U20" s="71"/>
      <c r="V20" s="71"/>
      <c r="W20" s="71"/>
      <c r="X20" s="72"/>
      <c r="Y20" s="75"/>
      <c r="Z20" s="71"/>
      <c r="AA20" s="71"/>
      <c r="AB20" s="71"/>
      <c r="AC20" s="71"/>
      <c r="AD20" s="72"/>
      <c r="AE20" s="75"/>
      <c r="AF20" s="71"/>
      <c r="AG20" s="71"/>
      <c r="AH20" s="71"/>
      <c r="AI20" s="71"/>
      <c r="AJ20" s="72"/>
      <c r="AK20" s="75"/>
      <c r="AL20" s="71"/>
      <c r="AM20" s="71"/>
      <c r="AN20" s="71"/>
      <c r="AO20" s="71"/>
      <c r="AP20" s="72"/>
      <c r="AQ20" s="75"/>
      <c r="AR20" s="71"/>
      <c r="AS20" s="71"/>
      <c r="AT20" s="71"/>
      <c r="AU20" s="71"/>
      <c r="AV20" s="72"/>
      <c r="AW20" s="75"/>
      <c r="AX20" s="71"/>
      <c r="AY20" s="71"/>
      <c r="AZ20" s="71"/>
      <c r="BA20" s="71"/>
      <c r="BB20" s="72"/>
      <c r="BC20" s="75"/>
      <c r="BD20" s="71"/>
      <c r="BE20" s="71"/>
      <c r="BF20" s="71"/>
      <c r="BG20" s="71"/>
      <c r="BH20" s="72"/>
      <c r="BI20" s="75"/>
      <c r="BJ20" s="71"/>
      <c r="BK20" s="71"/>
      <c r="BL20" s="71"/>
      <c r="BM20" s="71"/>
      <c r="BN20" s="71"/>
      <c r="BO20" s="75"/>
      <c r="BP20" s="71"/>
      <c r="BQ20" s="71"/>
      <c r="BR20" s="71"/>
      <c r="BS20" s="71"/>
      <c r="BT20" s="71"/>
    </row>
    <row r="21" spans="1:72" x14ac:dyDescent="0.2">
      <c r="A21" s="75" t="s">
        <v>20</v>
      </c>
      <c r="B21" s="71"/>
      <c r="C21" s="71"/>
      <c r="D21" s="71"/>
      <c r="E21" s="71"/>
      <c r="F21" s="89">
        <f>(E17/E19)</f>
        <v>5.5029088814210467E-2</v>
      </c>
      <c r="G21" s="75" t="s">
        <v>20</v>
      </c>
      <c r="H21" s="71"/>
      <c r="I21" s="71"/>
      <c r="J21" s="71"/>
      <c r="K21" s="71"/>
      <c r="L21" s="89">
        <f>(K17/K19)</f>
        <v>-0.46475922697360816</v>
      </c>
      <c r="M21" s="75" t="s">
        <v>20</v>
      </c>
      <c r="N21" s="71"/>
      <c r="O21" s="71"/>
      <c r="P21" s="71"/>
      <c r="Q21" s="71"/>
      <c r="R21" s="89">
        <f>(Q17/Q19)</f>
        <v>-0.78787766361992728</v>
      </c>
      <c r="S21" s="75" t="s">
        <v>20</v>
      </c>
      <c r="T21" s="71"/>
      <c r="U21" s="71"/>
      <c r="V21" s="71"/>
      <c r="W21" s="71"/>
      <c r="X21" s="89">
        <v>-2.12</v>
      </c>
      <c r="Y21" s="75" t="s">
        <v>20</v>
      </c>
      <c r="Z21" s="71"/>
      <c r="AA21" s="71"/>
      <c r="AB21" s="71"/>
      <c r="AC21" s="71"/>
      <c r="AD21" s="89">
        <f>(AC17/AC19)</f>
        <v>0.53438475009847997</v>
      </c>
      <c r="AE21" s="75" t="s">
        <v>20</v>
      </c>
      <c r="AF21" s="71"/>
      <c r="AG21" s="71"/>
      <c r="AH21" s="71"/>
      <c r="AI21" s="71"/>
      <c r="AJ21" s="89">
        <f>(AI17/AI19)</f>
        <v>-0.1065373199196943</v>
      </c>
      <c r="AK21" s="75" t="s">
        <v>20</v>
      </c>
      <c r="AL21" s="71"/>
      <c r="AM21" s="71"/>
      <c r="AN21" s="71"/>
      <c r="AO21" s="71"/>
      <c r="AP21" s="89">
        <f>(AO17/AO19)</f>
        <v>-0.43382473487030693</v>
      </c>
      <c r="AQ21" s="75" t="s">
        <v>20</v>
      </c>
      <c r="AR21" s="71"/>
      <c r="AS21" s="71"/>
      <c r="AT21" s="71"/>
      <c r="AU21" s="71"/>
      <c r="AV21" s="89">
        <f>(AU17/AU19)</f>
        <v>-0.28339636321215389</v>
      </c>
      <c r="AW21" s="75" t="s">
        <v>20</v>
      </c>
      <c r="AX21" s="71"/>
      <c r="AY21" s="71"/>
      <c r="AZ21" s="71"/>
      <c r="BA21" s="71"/>
      <c r="BB21" s="89">
        <f>(BA17/BA19)</f>
        <v>-0.43161978721890454</v>
      </c>
      <c r="BC21" s="75" t="s">
        <v>20</v>
      </c>
      <c r="BD21" s="71"/>
      <c r="BE21" s="71"/>
      <c r="BF21" s="71"/>
      <c r="BG21" s="71"/>
      <c r="BH21" s="89">
        <f>(BG17/BG19)</f>
        <v>0.32102851136120186</v>
      </c>
      <c r="BI21" s="75" t="s">
        <v>20</v>
      </c>
      <c r="BJ21" s="71"/>
      <c r="BK21" s="71"/>
      <c r="BL21" s="71"/>
      <c r="BM21" s="71"/>
      <c r="BN21" s="90">
        <f>ROUND(BM17/BM19,2)</f>
        <v>0.5</v>
      </c>
      <c r="BO21" s="75" t="s">
        <v>20</v>
      </c>
      <c r="BP21" s="71"/>
      <c r="BQ21" s="71"/>
      <c r="BR21" s="71"/>
      <c r="BS21" s="71"/>
      <c r="BT21" s="90">
        <f>ROUND(BS17/BS19,2)</f>
        <v>-0.48</v>
      </c>
    </row>
    <row r="22" spans="1:72" x14ac:dyDescent="0.2">
      <c r="A22" s="75"/>
      <c r="B22" s="71"/>
      <c r="C22" s="71"/>
      <c r="D22" s="71"/>
      <c r="E22" s="71"/>
      <c r="F22" s="89"/>
      <c r="G22" s="75"/>
      <c r="H22" s="71"/>
      <c r="I22" s="71"/>
      <c r="J22" s="71"/>
      <c r="K22" s="71"/>
      <c r="L22" s="89"/>
      <c r="M22" s="75"/>
      <c r="N22" s="71"/>
      <c r="O22" s="71"/>
      <c r="P22" s="71"/>
      <c r="Q22" s="71"/>
      <c r="R22" s="89"/>
      <c r="S22" s="75"/>
      <c r="T22" s="71"/>
      <c r="U22" s="71"/>
      <c r="V22" s="71"/>
      <c r="W22" s="71"/>
      <c r="X22" s="89"/>
      <c r="Y22" s="75"/>
      <c r="Z22" s="71"/>
      <c r="AA22" s="71"/>
      <c r="AB22" s="71"/>
      <c r="AC22" s="71"/>
      <c r="AD22" s="89"/>
      <c r="AE22" s="75"/>
      <c r="AF22" s="71"/>
      <c r="AG22" s="71"/>
      <c r="AH22" s="71"/>
      <c r="AI22" s="71"/>
      <c r="AJ22" s="89"/>
      <c r="AK22" s="75"/>
      <c r="AL22" s="71"/>
      <c r="AM22" s="71"/>
      <c r="AN22" s="71"/>
      <c r="AO22" s="71"/>
      <c r="AP22" s="89"/>
      <c r="AQ22" s="75"/>
      <c r="AR22" s="71"/>
      <c r="AS22" s="71"/>
      <c r="AT22" s="71"/>
      <c r="AU22" s="71"/>
      <c r="AV22" s="89"/>
      <c r="AW22" s="75"/>
      <c r="AX22" s="71"/>
      <c r="AY22" s="71"/>
      <c r="AZ22" s="71"/>
      <c r="BA22" s="71"/>
      <c r="BB22" s="89"/>
      <c r="BC22" s="75"/>
      <c r="BD22" s="71"/>
      <c r="BE22" s="71"/>
      <c r="BF22" s="71"/>
      <c r="BG22" s="71"/>
      <c r="BH22" s="89"/>
      <c r="BI22" s="75"/>
      <c r="BJ22" s="71"/>
      <c r="BK22" s="71"/>
      <c r="BL22" s="71"/>
      <c r="BM22" s="71"/>
      <c r="BN22" s="90"/>
      <c r="BO22" s="75"/>
      <c r="BP22" s="71"/>
      <c r="BQ22" s="71"/>
      <c r="BR22" s="71"/>
      <c r="BS22" s="71"/>
      <c r="BT22" s="90"/>
    </row>
    <row r="23" spans="1:72" ht="16.5" x14ac:dyDescent="0.35">
      <c r="A23" s="79" t="s">
        <v>130</v>
      </c>
      <c r="B23" s="80"/>
      <c r="C23" s="71"/>
      <c r="D23" s="71"/>
      <c r="E23" s="91">
        <f>E15</f>
        <v>-334562.73435199994</v>
      </c>
      <c r="F23" s="89"/>
      <c r="G23" s="79" t="s">
        <v>130</v>
      </c>
      <c r="H23" s="80"/>
      <c r="I23" s="71"/>
      <c r="J23" s="71"/>
      <c r="K23" s="91">
        <v>-406325</v>
      </c>
      <c r="L23" s="89"/>
      <c r="M23" s="79" t="s">
        <v>90</v>
      </c>
      <c r="N23" s="80"/>
      <c r="O23" s="71"/>
      <c r="P23" s="71"/>
      <c r="Q23" s="91">
        <f>Q15</f>
        <v>-318464.90950000001</v>
      </c>
      <c r="R23" s="89"/>
      <c r="S23" s="79" t="s">
        <v>91</v>
      </c>
      <c r="T23" s="80"/>
      <c r="U23" s="71"/>
      <c r="V23" s="71"/>
      <c r="W23" s="91">
        <f>-17288.4-16621.18-29786.5-19156-27865-30268.95</f>
        <v>-140986.03</v>
      </c>
      <c r="X23" s="89"/>
      <c r="Y23" s="79" t="s">
        <v>92</v>
      </c>
      <c r="Z23" s="80"/>
      <c r="AA23" s="71"/>
      <c r="AB23" s="71"/>
      <c r="AC23" s="91">
        <f>+AC15</f>
        <v>274837.78000000003</v>
      </c>
      <c r="AD23" s="89"/>
      <c r="AE23" s="79" t="s">
        <v>93</v>
      </c>
      <c r="AF23" s="80"/>
      <c r="AG23" s="71"/>
      <c r="AH23" s="71"/>
      <c r="AI23" s="91">
        <f>+AI15</f>
        <v>159977.75</v>
      </c>
      <c r="AJ23" s="89"/>
      <c r="AK23" s="79" t="s">
        <v>94</v>
      </c>
      <c r="AL23" s="80"/>
      <c r="AM23" s="71"/>
      <c r="AN23" s="71"/>
      <c r="AO23" s="91">
        <f>+AO15</f>
        <v>155446.54</v>
      </c>
      <c r="AP23" s="89"/>
      <c r="AQ23" s="79" t="s">
        <v>95</v>
      </c>
      <c r="AR23" s="80"/>
      <c r="AS23" s="71"/>
      <c r="AT23" s="71"/>
      <c r="AU23" s="91">
        <f>+AU15</f>
        <v>234286.43999999997</v>
      </c>
      <c r="AV23" s="89"/>
      <c r="AW23" s="79" t="s">
        <v>96</v>
      </c>
      <c r="AX23" s="80"/>
      <c r="AY23" s="71"/>
      <c r="AZ23" s="71"/>
      <c r="BA23" s="91">
        <f>+BA15</f>
        <v>257194.49</v>
      </c>
      <c r="BB23" s="89"/>
      <c r="BC23" s="79" t="s">
        <v>97</v>
      </c>
      <c r="BD23" s="80"/>
      <c r="BE23" s="71"/>
      <c r="BF23" s="71"/>
      <c r="BG23" s="91">
        <f>+BG15</f>
        <v>363513.22</v>
      </c>
      <c r="BH23" s="89"/>
      <c r="BI23" s="79" t="s">
        <v>98</v>
      </c>
      <c r="BJ23" s="80"/>
      <c r="BK23" s="71"/>
      <c r="BL23" s="71"/>
      <c r="BM23" s="92">
        <f>+BM15</f>
        <v>322653.09000000003</v>
      </c>
      <c r="BN23" s="90"/>
      <c r="BO23" s="79" t="s">
        <v>99</v>
      </c>
      <c r="BP23" s="80"/>
      <c r="BQ23" s="71"/>
      <c r="BR23" s="71"/>
      <c r="BS23" s="92">
        <f>+BS15</f>
        <v>207403.15</v>
      </c>
      <c r="BT23" s="90"/>
    </row>
    <row r="24" spans="1:72" x14ac:dyDescent="0.2">
      <c r="A24" s="75" t="s">
        <v>30</v>
      </c>
      <c r="B24" s="71"/>
      <c r="C24" s="71"/>
      <c r="D24" s="71"/>
      <c r="E24" s="82">
        <f>C13</f>
        <v>195802</v>
      </c>
      <c r="F24" s="89"/>
      <c r="G24" s="75" t="s">
        <v>30</v>
      </c>
      <c r="H24" s="71"/>
      <c r="I24" s="71"/>
      <c r="J24" s="71"/>
      <c r="K24" s="82">
        <f>I13</f>
        <v>216241</v>
      </c>
      <c r="L24" s="89"/>
      <c r="M24" s="75" t="s">
        <v>30</v>
      </c>
      <c r="N24" s="71"/>
      <c r="O24" s="71"/>
      <c r="P24" s="71"/>
      <c r="Q24" s="82">
        <f>O13</f>
        <v>219579</v>
      </c>
      <c r="R24" s="89"/>
      <c r="S24" s="75" t="s">
        <v>30</v>
      </c>
      <c r="T24" s="71"/>
      <c r="U24" s="71"/>
      <c r="V24" s="71"/>
      <c r="W24" s="82">
        <f>17931+17940+17995+18010+18025+17988</f>
        <v>107889</v>
      </c>
      <c r="X24" s="89"/>
      <c r="Y24" s="75" t="s">
        <v>30</v>
      </c>
      <c r="Z24" s="71"/>
      <c r="AA24" s="71"/>
      <c r="AB24" s="71"/>
      <c r="AC24" s="82">
        <f>AC19</f>
        <v>210703</v>
      </c>
      <c r="AD24" s="89"/>
      <c r="AE24" s="75" t="s">
        <v>30</v>
      </c>
      <c r="AF24" s="71"/>
      <c r="AG24" s="71"/>
      <c r="AH24" s="71"/>
      <c r="AI24" s="82">
        <f>AI19</f>
        <v>208784</v>
      </c>
      <c r="AJ24" s="89"/>
      <c r="AK24" s="75" t="s">
        <v>30</v>
      </c>
      <c r="AL24" s="71"/>
      <c r="AM24" s="71"/>
      <c r="AN24" s="71"/>
      <c r="AO24" s="82">
        <f>AO19</f>
        <v>200620</v>
      </c>
      <c r="AP24" s="89"/>
      <c r="AQ24" s="75" t="s">
        <v>30</v>
      </c>
      <c r="AR24" s="71"/>
      <c r="AS24" s="71"/>
      <c r="AT24" s="71"/>
      <c r="AU24" s="82">
        <f>AU19</f>
        <v>200620</v>
      </c>
      <c r="AV24" s="89"/>
      <c r="AW24" s="75" t="s">
        <v>30</v>
      </c>
      <c r="AX24" s="71"/>
      <c r="AY24" s="71"/>
      <c r="AZ24" s="71"/>
      <c r="BA24" s="82">
        <f>BA19</f>
        <v>192856</v>
      </c>
      <c r="BB24" s="89"/>
      <c r="BC24" s="75" t="s">
        <v>30</v>
      </c>
      <c r="BD24" s="71"/>
      <c r="BE24" s="71"/>
      <c r="BF24" s="71"/>
      <c r="BG24" s="82">
        <f>BG19</f>
        <v>200727</v>
      </c>
      <c r="BH24" s="89"/>
      <c r="BI24" s="75" t="s">
        <v>30</v>
      </c>
      <c r="BJ24" s="71"/>
      <c r="BK24" s="71"/>
      <c r="BL24" s="71"/>
      <c r="BM24" s="82">
        <f>BM19</f>
        <v>198395</v>
      </c>
      <c r="BN24" s="90"/>
      <c r="BO24" s="75" t="s">
        <v>30</v>
      </c>
      <c r="BP24" s="71"/>
      <c r="BQ24" s="71"/>
      <c r="BR24" s="71"/>
      <c r="BS24" s="82">
        <f>BS19</f>
        <v>194026</v>
      </c>
      <c r="BT24" s="90"/>
    </row>
    <row r="25" spans="1:72" ht="15" x14ac:dyDescent="0.35">
      <c r="A25" s="75" t="s">
        <v>100</v>
      </c>
      <c r="B25" s="71"/>
      <c r="C25" s="71"/>
      <c r="D25" s="71"/>
      <c r="E25" s="71"/>
      <c r="F25" s="93">
        <f>(E23/E24)</f>
        <v>-1.7086788406247124</v>
      </c>
      <c r="G25" s="75" t="s">
        <v>100</v>
      </c>
      <c r="H25" s="71"/>
      <c r="I25" s="71"/>
      <c r="J25" s="71"/>
      <c r="K25" s="71"/>
      <c r="L25" s="93">
        <f>(K23/K24)</f>
        <v>-1.8790377402990182</v>
      </c>
      <c r="M25" s="75" t="s">
        <v>100</v>
      </c>
      <c r="N25" s="71"/>
      <c r="O25" s="71"/>
      <c r="P25" s="71"/>
      <c r="Q25" s="71"/>
      <c r="R25" s="93">
        <f>(Q23/Q24)</f>
        <v>-1.4503431999417067</v>
      </c>
      <c r="S25" s="75" t="s">
        <v>100</v>
      </c>
      <c r="T25" s="71"/>
      <c r="U25" s="71"/>
      <c r="V25" s="71"/>
      <c r="W25" s="71"/>
      <c r="X25" s="93">
        <f>W23/W24</f>
        <v>-1.3067692721222739</v>
      </c>
      <c r="Y25" s="75" t="s">
        <v>100</v>
      </c>
      <c r="Z25" s="71"/>
      <c r="AA25" s="71"/>
      <c r="AB25" s="71"/>
      <c r="AC25" s="71"/>
      <c r="AD25" s="93">
        <f>(AC23/AC24)</f>
        <v>1.30438475009848</v>
      </c>
      <c r="AE25" s="75" t="s">
        <v>100</v>
      </c>
      <c r="AF25" s="71"/>
      <c r="AG25" s="71"/>
      <c r="AH25" s="71"/>
      <c r="AI25" s="71"/>
      <c r="AJ25" s="93">
        <f>(AI23/AI24)</f>
        <v>0.76623567897923217</v>
      </c>
      <c r="AK25" s="75" t="s">
        <v>100</v>
      </c>
      <c r="AL25" s="71"/>
      <c r="AM25" s="71"/>
      <c r="AN25" s="71"/>
      <c r="AO25" s="71"/>
      <c r="AP25" s="93">
        <f>(AO23/AO24)</f>
        <v>0.77483072475326487</v>
      </c>
      <c r="AQ25" s="75" t="s">
        <v>100</v>
      </c>
      <c r="AR25" s="71"/>
      <c r="AS25" s="71"/>
      <c r="AT25" s="71"/>
      <c r="AU25" s="71"/>
      <c r="AV25" s="93">
        <f>(AU23/AU24)</f>
        <v>1.167811982853155</v>
      </c>
      <c r="AW25" s="75" t="s">
        <v>100</v>
      </c>
      <c r="AX25" s="71"/>
      <c r="AY25" s="71"/>
      <c r="AZ25" s="71"/>
      <c r="BA25" s="71"/>
      <c r="BB25" s="93">
        <f>(BA23/BA24)</f>
        <v>1.3336089621271829</v>
      </c>
      <c r="BC25" s="75" t="s">
        <v>100</v>
      </c>
      <c r="BD25" s="71"/>
      <c r="BE25" s="71"/>
      <c r="BF25" s="71"/>
      <c r="BG25" s="71"/>
      <c r="BH25" s="93">
        <f>(BG23/BG24)</f>
        <v>1.8109831761546775</v>
      </c>
      <c r="BI25" s="75" t="s">
        <v>100</v>
      </c>
      <c r="BJ25" s="71"/>
      <c r="BK25" s="71"/>
      <c r="BL25" s="71"/>
      <c r="BM25" s="71"/>
      <c r="BN25" s="94">
        <f>ROUND(BM23/BM24,2)</f>
        <v>1.63</v>
      </c>
      <c r="BO25" s="75" t="s">
        <v>100</v>
      </c>
      <c r="BP25" s="71"/>
      <c r="BQ25" s="71"/>
      <c r="BR25" s="71"/>
      <c r="BS25" s="71"/>
      <c r="BT25" s="94">
        <f>ROUND(BS23/BS24,2)</f>
        <v>1.07</v>
      </c>
    </row>
    <row r="26" spans="1:72" x14ac:dyDescent="0.2">
      <c r="A26" s="75"/>
      <c r="B26" s="71"/>
      <c r="C26" s="71"/>
      <c r="D26" s="71"/>
      <c r="E26" s="71"/>
      <c r="F26" s="89"/>
      <c r="G26" s="75"/>
      <c r="H26" s="71"/>
      <c r="I26" s="71"/>
      <c r="J26" s="71"/>
      <c r="K26" s="71"/>
      <c r="L26" s="89"/>
      <c r="M26" s="75"/>
      <c r="N26" s="71"/>
      <c r="O26" s="71"/>
      <c r="P26" s="71"/>
      <c r="Q26" s="71"/>
      <c r="R26" s="89"/>
      <c r="S26" s="75"/>
      <c r="T26" s="71"/>
      <c r="U26" s="71"/>
      <c r="V26" s="71"/>
      <c r="W26" s="71"/>
      <c r="X26" s="89"/>
      <c r="Y26" s="75"/>
      <c r="Z26" s="71"/>
      <c r="AA26" s="71"/>
      <c r="AB26" s="71"/>
      <c r="AC26" s="71"/>
      <c r="AD26" s="89"/>
      <c r="AE26" s="75"/>
      <c r="AF26" s="71"/>
      <c r="AG26" s="71"/>
      <c r="AH26" s="71"/>
      <c r="AI26" s="71"/>
      <c r="AJ26" s="89"/>
      <c r="AK26" s="75"/>
      <c r="AL26" s="71"/>
      <c r="AM26" s="71"/>
      <c r="AN26" s="71"/>
      <c r="AO26" s="71"/>
      <c r="AP26" s="89"/>
      <c r="AQ26" s="75"/>
      <c r="AR26" s="71"/>
      <c r="AS26" s="71"/>
      <c r="AT26" s="71"/>
      <c r="AU26" s="71"/>
      <c r="AV26" s="89"/>
      <c r="AW26" s="75"/>
      <c r="AX26" s="71"/>
      <c r="AY26" s="71"/>
      <c r="AZ26" s="71"/>
      <c r="BA26" s="71"/>
      <c r="BB26" s="89"/>
      <c r="BC26" s="75"/>
      <c r="BD26" s="71"/>
      <c r="BE26" s="71"/>
      <c r="BF26" s="71"/>
      <c r="BG26" s="71"/>
      <c r="BH26" s="89"/>
      <c r="BI26" s="75"/>
      <c r="BJ26" s="71"/>
      <c r="BK26" s="71"/>
      <c r="BL26" s="71"/>
      <c r="BM26" s="71"/>
      <c r="BN26" s="90"/>
      <c r="BO26" s="75"/>
      <c r="BP26" s="71"/>
      <c r="BQ26" s="71"/>
      <c r="BR26" s="71"/>
      <c r="BS26" s="71"/>
      <c r="BT26" s="90"/>
    </row>
    <row r="27" spans="1:72" ht="18.75" thickBot="1" x14ac:dyDescent="0.4">
      <c r="A27" s="68" t="s">
        <v>101</v>
      </c>
      <c r="B27" s="69"/>
      <c r="C27" s="71"/>
      <c r="D27" s="71"/>
      <c r="E27" s="71"/>
      <c r="F27" s="145">
        <f>(+F21+F25)/11*12</f>
        <v>-1.8039815474296383</v>
      </c>
      <c r="G27" s="68" t="s">
        <v>101</v>
      </c>
      <c r="H27" s="69"/>
      <c r="I27" s="71"/>
      <c r="J27" s="71"/>
      <c r="K27" s="71"/>
      <c r="L27" s="95">
        <f>+L21+L25</f>
        <v>-2.3437969672726262</v>
      </c>
      <c r="M27" s="68" t="s">
        <v>101</v>
      </c>
      <c r="N27" s="69"/>
      <c r="O27" s="71"/>
      <c r="P27" s="71"/>
      <c r="Q27" s="71"/>
      <c r="R27" s="95">
        <f>+R21+R25</f>
        <v>-2.2382208635616339</v>
      </c>
      <c r="S27" s="68" t="s">
        <v>101</v>
      </c>
      <c r="T27" s="69"/>
      <c r="U27" s="71"/>
      <c r="V27" s="71"/>
      <c r="W27" s="71"/>
      <c r="X27" s="95">
        <f>+X21+X25</f>
        <v>-3.4267692721222742</v>
      </c>
      <c r="Y27" s="68" t="s">
        <v>101</v>
      </c>
      <c r="Z27" s="69"/>
      <c r="AA27" s="71"/>
      <c r="AB27" s="71"/>
      <c r="AC27" s="71"/>
      <c r="AD27" s="95">
        <f>+AD21+AD25</f>
        <v>1.8387695001969599</v>
      </c>
      <c r="AE27" s="68" t="s">
        <v>101</v>
      </c>
      <c r="AF27" s="69"/>
      <c r="AG27" s="71"/>
      <c r="AH27" s="71"/>
      <c r="AI27" s="71"/>
      <c r="AJ27" s="95">
        <f>+AJ21+AJ25</f>
        <v>0.65969835905953789</v>
      </c>
      <c r="AK27" s="68" t="s">
        <v>101</v>
      </c>
      <c r="AL27" s="69"/>
      <c r="AM27" s="71"/>
      <c r="AN27" s="71"/>
      <c r="AO27" s="71"/>
      <c r="AP27" s="95">
        <f>+AP21+AP25</f>
        <v>0.34100598988295794</v>
      </c>
      <c r="AQ27" s="68" t="s">
        <v>101</v>
      </c>
      <c r="AR27" s="69"/>
      <c r="AS27" s="71"/>
      <c r="AT27" s="71"/>
      <c r="AU27" s="71"/>
      <c r="AV27" s="95">
        <f>+AV21+AV25</f>
        <v>0.88441561964100113</v>
      </c>
      <c r="AW27" s="68" t="s">
        <v>101</v>
      </c>
      <c r="AX27" s="69"/>
      <c r="AY27" s="71"/>
      <c r="AZ27" s="71"/>
      <c r="BA27" s="71"/>
      <c r="BB27" s="95">
        <f>+BB21+BB25</f>
        <v>0.90198917490827846</v>
      </c>
      <c r="BC27" s="68" t="s">
        <v>101</v>
      </c>
      <c r="BD27" s="69"/>
      <c r="BE27" s="71"/>
      <c r="BF27" s="71"/>
      <c r="BG27" s="71"/>
      <c r="BH27" s="96">
        <f>+BH25+BH21</f>
        <v>2.1320116875158792</v>
      </c>
      <c r="BI27" s="68" t="s">
        <v>101</v>
      </c>
      <c r="BJ27" s="69"/>
      <c r="BK27" s="71"/>
      <c r="BL27" s="71"/>
      <c r="BM27" s="71"/>
      <c r="BN27" s="97">
        <f>+BN25+BN21</f>
        <v>2.13</v>
      </c>
      <c r="BO27" s="68" t="s">
        <v>101</v>
      </c>
      <c r="BP27" s="69"/>
      <c r="BQ27" s="71"/>
      <c r="BR27" s="71"/>
      <c r="BS27" s="71"/>
      <c r="BT27" s="97">
        <f>+BT25+BT21</f>
        <v>0.59000000000000008</v>
      </c>
    </row>
    <row r="28" spans="1:72" ht="18.75" thickTop="1" x14ac:dyDescent="0.35">
      <c r="A28" s="75"/>
      <c r="B28" s="71"/>
      <c r="C28" s="71"/>
      <c r="D28" s="71"/>
      <c r="E28" s="71"/>
      <c r="F28" s="95"/>
      <c r="G28" s="75"/>
      <c r="H28" s="71"/>
      <c r="I28" s="71"/>
      <c r="J28" s="71"/>
      <c r="K28" s="71"/>
      <c r="L28" s="95"/>
      <c r="M28" s="75"/>
      <c r="N28" s="71"/>
      <c r="O28" s="71"/>
      <c r="P28" s="71"/>
      <c r="Q28" s="71"/>
      <c r="R28" s="95"/>
      <c r="S28" s="75"/>
      <c r="T28" s="71"/>
      <c r="U28" s="71"/>
      <c r="V28" s="71"/>
      <c r="W28" s="71"/>
      <c r="X28" s="95">
        <f>AD30</f>
        <v>0</v>
      </c>
      <c r="Y28" s="75" t="s">
        <v>102</v>
      </c>
      <c r="Z28" s="71"/>
      <c r="AA28" s="71"/>
      <c r="AB28" s="71"/>
      <c r="AC28" s="71"/>
      <c r="AD28" s="95">
        <f>AJ30</f>
        <v>0</v>
      </c>
      <c r="AE28" s="75" t="s">
        <v>102</v>
      </c>
      <c r="AF28" s="71"/>
      <c r="AG28" s="71"/>
      <c r="AH28" s="71"/>
      <c r="AI28" s="71"/>
      <c r="AJ28" s="98">
        <f>AP30</f>
        <v>0</v>
      </c>
      <c r="AK28" s="75" t="s">
        <v>102</v>
      </c>
      <c r="AL28" s="71"/>
      <c r="AM28" s="71"/>
      <c r="AN28" s="71"/>
      <c r="AO28" s="71"/>
      <c r="AP28" s="98">
        <f>AV30</f>
        <v>0</v>
      </c>
      <c r="AQ28" s="75" t="s">
        <v>102</v>
      </c>
      <c r="AR28" s="71"/>
      <c r="AS28" s="71"/>
      <c r="AT28" s="71"/>
      <c r="AU28" s="71"/>
      <c r="AV28" s="98">
        <f>BB30</f>
        <v>0</v>
      </c>
      <c r="AW28" s="75" t="s">
        <v>102</v>
      </c>
      <c r="AX28" s="71"/>
      <c r="AY28" s="71"/>
      <c r="AZ28" s="71"/>
      <c r="BA28" s="71"/>
      <c r="BB28" s="98">
        <f>BH30</f>
        <v>6.2520238931484062E-2</v>
      </c>
      <c r="BC28" s="99" t="s">
        <v>103</v>
      </c>
      <c r="BD28" s="71"/>
      <c r="BE28" s="71"/>
      <c r="BF28" s="71"/>
      <c r="BG28" s="71"/>
      <c r="BH28" s="89"/>
      <c r="BI28" s="75"/>
      <c r="BJ28" s="71"/>
      <c r="BK28" s="71"/>
      <c r="BL28" s="71"/>
      <c r="BM28" s="71"/>
      <c r="BN28" s="90"/>
      <c r="BO28" s="75"/>
      <c r="BP28" s="71"/>
      <c r="BQ28" s="71"/>
      <c r="BR28" s="71"/>
      <c r="BS28" s="71"/>
      <c r="BT28" s="90"/>
    </row>
    <row r="29" spans="1:72" ht="18.75" thickBot="1" x14ac:dyDescent="0.4">
      <c r="A29" s="75"/>
      <c r="B29" s="71"/>
      <c r="C29" s="71"/>
      <c r="D29" s="71"/>
      <c r="E29" s="71"/>
      <c r="F29" s="100"/>
      <c r="G29" s="75"/>
      <c r="H29" s="71"/>
      <c r="I29" s="71"/>
      <c r="J29" s="71"/>
      <c r="K29" s="71"/>
      <c r="L29" s="100"/>
      <c r="M29" s="75"/>
      <c r="N29" s="71"/>
      <c r="O29" s="71"/>
      <c r="P29" s="71"/>
      <c r="Q29" s="71"/>
      <c r="R29" s="100"/>
      <c r="S29" s="101"/>
      <c r="T29" s="71"/>
      <c r="U29" s="71"/>
      <c r="V29" s="71"/>
      <c r="W29" s="71"/>
      <c r="X29" s="102">
        <f>SUM(X27:X28)</f>
        <v>-3.4267692721222742</v>
      </c>
      <c r="Y29" s="75"/>
      <c r="Z29" s="71"/>
      <c r="AA29" s="71"/>
      <c r="AB29" s="71"/>
      <c r="AC29" s="71"/>
      <c r="AD29" s="102">
        <f>SUM(AD27:AD28)</f>
        <v>1.8387695001969599</v>
      </c>
      <c r="AE29" s="71"/>
      <c r="AF29" s="71"/>
      <c r="AG29" s="71"/>
      <c r="AH29" s="71"/>
      <c r="AI29" s="71"/>
      <c r="AJ29" s="96">
        <f>SUM(AJ27:AJ28)</f>
        <v>0.65969835905953789</v>
      </c>
      <c r="AK29" s="75"/>
      <c r="AL29" s="71"/>
      <c r="AM29" s="71"/>
      <c r="AN29" s="71"/>
      <c r="AO29" s="71"/>
      <c r="AP29" s="96">
        <f>SUM(AP27:AP28)</f>
        <v>0.34100598988295794</v>
      </c>
      <c r="AQ29" s="75"/>
      <c r="AR29" s="71"/>
      <c r="AS29" s="71"/>
      <c r="AT29" s="71"/>
      <c r="AU29" s="71"/>
      <c r="AV29" s="96">
        <f>SUM(AV27:AV28)</f>
        <v>0.88441561964100113</v>
      </c>
      <c r="AW29" s="75"/>
      <c r="AX29" s="71"/>
      <c r="AY29" s="71"/>
      <c r="AZ29" s="71"/>
      <c r="BA29" s="71"/>
      <c r="BB29" s="96">
        <f>SUM(BB27:BB28)</f>
        <v>0.96450941383976252</v>
      </c>
      <c r="BC29" s="75" t="s">
        <v>104</v>
      </c>
      <c r="BD29" s="71"/>
      <c r="BE29" s="71"/>
      <c r="BF29" s="71"/>
      <c r="BG29" s="103">
        <f>BG17-BG49</f>
        <v>12549.5</v>
      </c>
      <c r="BH29" s="72"/>
      <c r="BI29" s="75"/>
      <c r="BJ29" s="71"/>
      <c r="BK29" s="71"/>
      <c r="BL29" s="71"/>
      <c r="BM29" s="104"/>
      <c r="BN29" s="71"/>
      <c r="BO29" s="75"/>
      <c r="BP29" s="71"/>
      <c r="BQ29" s="71"/>
      <c r="BR29" s="71"/>
      <c r="BS29" s="104"/>
      <c r="BT29" s="71"/>
    </row>
    <row r="30" spans="1:72" ht="15.75" thickTop="1" x14ac:dyDescent="0.35">
      <c r="A30" s="75"/>
      <c r="B30" s="71"/>
      <c r="C30" s="71"/>
      <c r="D30" s="105"/>
      <c r="E30" s="71"/>
      <c r="F30" s="100"/>
      <c r="G30" s="75"/>
      <c r="H30" s="71"/>
      <c r="I30" s="71"/>
      <c r="J30" s="105"/>
      <c r="K30" s="71"/>
      <c r="L30" s="100"/>
      <c r="M30" s="75"/>
      <c r="N30" s="71"/>
      <c r="O30" s="71"/>
      <c r="P30" s="105"/>
      <c r="Q30" s="71"/>
      <c r="R30" s="100"/>
      <c r="S30" s="75"/>
      <c r="T30" s="71"/>
      <c r="U30" s="71"/>
      <c r="V30" s="105"/>
      <c r="W30" s="71"/>
      <c r="X30" s="100"/>
      <c r="Y30" s="75"/>
      <c r="Z30" s="71"/>
      <c r="AA30" s="71"/>
      <c r="AB30" s="105"/>
      <c r="AC30" s="71"/>
      <c r="AD30" s="100"/>
      <c r="AE30" s="75"/>
      <c r="AF30" s="71"/>
      <c r="AG30" s="71"/>
      <c r="AH30" s="105"/>
      <c r="AI30" s="71"/>
      <c r="AJ30" s="100"/>
      <c r="AK30" s="75"/>
      <c r="AL30" s="71"/>
      <c r="AM30" s="71"/>
      <c r="AN30" s="105"/>
      <c r="AO30" s="71"/>
      <c r="AP30" s="100"/>
      <c r="AQ30" s="75"/>
      <c r="AR30" s="71"/>
      <c r="AS30" s="71"/>
      <c r="AT30" s="105"/>
      <c r="AU30" s="71"/>
      <c r="AV30" s="100"/>
      <c r="AW30" s="75"/>
      <c r="AX30" s="71"/>
      <c r="AY30" s="71"/>
      <c r="AZ30" s="105"/>
      <c r="BA30" s="71"/>
      <c r="BB30" s="100"/>
      <c r="BC30" s="75" t="s">
        <v>30</v>
      </c>
      <c r="BD30" s="71"/>
      <c r="BE30" s="71"/>
      <c r="BF30" s="71"/>
      <c r="BG30" s="82">
        <f>BG24</f>
        <v>200727</v>
      </c>
      <c r="BH30" s="106">
        <f>(BG29/BG30)</f>
        <v>6.2520238931484062E-2</v>
      </c>
      <c r="BI30" s="75"/>
      <c r="BJ30" s="71"/>
      <c r="BK30" s="71"/>
      <c r="BL30" s="71"/>
      <c r="BM30" s="71"/>
      <c r="BN30" s="107"/>
      <c r="BO30" s="75"/>
      <c r="BP30" s="71"/>
      <c r="BQ30" s="71"/>
      <c r="BR30" s="71"/>
      <c r="BS30" s="71"/>
      <c r="BT30" s="107"/>
    </row>
    <row r="31" spans="1:72" x14ac:dyDescent="0.2">
      <c r="A31" s="75"/>
      <c r="B31" s="71"/>
      <c r="C31" s="71"/>
      <c r="D31" s="105"/>
      <c r="E31" s="71"/>
      <c r="F31" s="72"/>
      <c r="G31" s="75"/>
      <c r="H31" s="71"/>
      <c r="I31" s="71"/>
      <c r="J31" s="105"/>
      <c r="K31" s="71"/>
      <c r="L31" s="72"/>
      <c r="M31" s="75"/>
      <c r="N31" s="71"/>
      <c r="O31" s="71"/>
      <c r="P31" s="105"/>
      <c r="Q31" s="71"/>
      <c r="R31" s="72"/>
      <c r="S31" s="75"/>
      <c r="T31" s="71"/>
      <c r="U31" s="71"/>
      <c r="V31" s="105"/>
      <c r="W31" s="71"/>
      <c r="X31" s="72"/>
      <c r="Y31" s="75"/>
      <c r="Z31" s="71"/>
      <c r="AA31" s="71"/>
      <c r="AB31" s="105"/>
      <c r="AC31" s="71"/>
      <c r="AD31" s="72"/>
      <c r="AE31" s="75"/>
      <c r="AF31" s="71"/>
      <c r="AG31" s="71"/>
      <c r="AH31" s="105"/>
      <c r="AI31" s="71"/>
      <c r="AJ31" s="72"/>
      <c r="AK31" s="75"/>
      <c r="AL31" s="71"/>
      <c r="AM31" s="71"/>
      <c r="AN31" s="105"/>
      <c r="AO31" s="71"/>
      <c r="AP31" s="72"/>
      <c r="AQ31" s="75"/>
      <c r="AR31" s="71"/>
      <c r="AS31" s="71"/>
      <c r="AT31" s="105"/>
      <c r="AU31" s="71"/>
      <c r="AV31" s="72"/>
      <c r="AW31" s="75"/>
      <c r="AX31" s="71"/>
      <c r="AY31" s="71"/>
      <c r="AZ31" s="105"/>
      <c r="BA31" s="71"/>
      <c r="BB31" s="72"/>
      <c r="BC31" s="75"/>
      <c r="BD31" s="71"/>
      <c r="BE31" s="71"/>
      <c r="BF31" s="71"/>
      <c r="BG31" s="71"/>
      <c r="BH31" s="72"/>
      <c r="BI31" s="75"/>
      <c r="BJ31" s="71"/>
      <c r="BK31" s="71"/>
      <c r="BL31" s="71"/>
      <c r="BM31" s="104"/>
      <c r="BN31" s="105"/>
      <c r="BO31" s="75"/>
      <c r="BP31" s="71"/>
      <c r="BQ31" s="71"/>
      <c r="BR31" s="71"/>
      <c r="BS31" s="104"/>
      <c r="BT31" s="105"/>
    </row>
    <row r="32" spans="1:72" ht="28.5" customHeight="1" thickBot="1" x14ac:dyDescent="0.3">
      <c r="S32" s="108" t="s">
        <v>131</v>
      </c>
      <c r="BC32" s="109" t="s">
        <v>105</v>
      </c>
    </row>
    <row r="33" spans="13:69" ht="18.75" customHeight="1" x14ac:dyDescent="0.4">
      <c r="M33" s="110" t="s">
        <v>106</v>
      </c>
      <c r="O33" s="111"/>
      <c r="Q33" s="111"/>
      <c r="U33" s="112" t="s">
        <v>107</v>
      </c>
      <c r="V33" s="113">
        <v>3.43</v>
      </c>
      <c r="W33" s="114"/>
      <c r="X33" s="111"/>
      <c r="Y33" s="110" t="s">
        <v>108</v>
      </c>
      <c r="AD33" s="111"/>
      <c r="AJ33" s="111"/>
      <c r="AK33" s="67" t="s">
        <v>109</v>
      </c>
      <c r="AL33" s="67" t="s">
        <v>110</v>
      </c>
      <c r="AP33" s="111"/>
      <c r="AV33" s="111"/>
      <c r="BB33" s="111"/>
      <c r="BC33" s="63" t="str">
        <f>AW1</f>
        <v>Rubatino Refuse Removal commodity adjustment</v>
      </c>
      <c r="BD33" s="64"/>
      <c r="BE33" s="65"/>
      <c r="BF33" s="65"/>
      <c r="BG33" s="65"/>
      <c r="BH33" s="66"/>
      <c r="BI33" s="63">
        <f>AW33</f>
        <v>0</v>
      </c>
      <c r="BJ33" s="64"/>
      <c r="BK33" s="65"/>
      <c r="BL33" s="65"/>
      <c r="BM33" s="65"/>
      <c r="BN33" s="66"/>
      <c r="BQ33" s="67">
        <f>200000/12</f>
        <v>16666.666666666668</v>
      </c>
    </row>
    <row r="34" spans="13:69" ht="18" x14ac:dyDescent="0.35">
      <c r="Q34" s="111"/>
      <c r="U34" s="115" t="s">
        <v>111</v>
      </c>
      <c r="V34" s="116">
        <f>V33+X29</f>
        <v>3.2307278777259363E-3</v>
      </c>
      <c r="W34" s="117" t="s">
        <v>112</v>
      </c>
      <c r="X34" s="111"/>
      <c r="AD34" s="111"/>
      <c r="AJ34" s="111"/>
      <c r="AM34" s="67" t="s">
        <v>113</v>
      </c>
      <c r="AN34" s="67" t="s">
        <v>23</v>
      </c>
      <c r="AP34" s="111"/>
      <c r="AV34" s="111"/>
      <c r="BB34" s="111"/>
      <c r="BC34" s="68" t="s">
        <v>50</v>
      </c>
      <c r="BD34" s="69"/>
      <c r="BE34" s="70" t="s">
        <v>22</v>
      </c>
      <c r="BF34" s="71"/>
      <c r="BG34" s="71"/>
      <c r="BH34" s="72"/>
      <c r="BI34" s="68" t="s">
        <v>50</v>
      </c>
      <c r="BJ34" s="69"/>
      <c r="BK34" s="70" t="s">
        <v>22</v>
      </c>
      <c r="BL34" s="71"/>
      <c r="BM34" s="71"/>
      <c r="BN34" s="72"/>
    </row>
    <row r="35" spans="13:69" x14ac:dyDescent="0.2">
      <c r="U35" s="118"/>
      <c r="V35" s="119"/>
      <c r="AA35" s="118"/>
      <c r="AB35" s="119"/>
      <c r="AG35" s="118"/>
      <c r="AH35" s="119"/>
      <c r="AK35" s="67" t="s">
        <v>114</v>
      </c>
      <c r="AL35" s="67">
        <v>2014</v>
      </c>
      <c r="AM35" s="118">
        <v>14700.84</v>
      </c>
      <c r="AN35" s="119">
        <v>16510</v>
      </c>
      <c r="BC35" s="73" t="s">
        <v>57</v>
      </c>
      <c r="BD35" s="74"/>
      <c r="BE35" s="71"/>
      <c r="BF35" s="71"/>
      <c r="BG35" s="71"/>
      <c r="BH35" s="72"/>
      <c r="BI35" s="73" t="s">
        <v>58</v>
      </c>
      <c r="BJ35" s="74"/>
      <c r="BK35" s="71"/>
      <c r="BL35" s="71"/>
      <c r="BM35" s="71"/>
      <c r="BN35" s="72"/>
    </row>
    <row r="36" spans="13:69" ht="20.25" x14ac:dyDescent="0.3">
      <c r="S36" s="67" t="s">
        <v>115</v>
      </c>
      <c r="U36" s="118"/>
      <c r="V36" s="119"/>
      <c r="AA36" s="118"/>
      <c r="AB36" s="119"/>
      <c r="AG36" s="118"/>
      <c r="AH36" s="119"/>
      <c r="AK36" s="67" t="s">
        <v>116</v>
      </c>
      <c r="AL36" s="67">
        <v>2014</v>
      </c>
      <c r="AM36" s="118">
        <v>17617.32</v>
      </c>
      <c r="AN36" s="119">
        <v>16526</v>
      </c>
      <c r="BC36" s="75"/>
      <c r="BD36" s="150" t="s">
        <v>67</v>
      </c>
      <c r="BE36" s="150"/>
      <c r="BF36" s="150"/>
      <c r="BG36" s="150"/>
      <c r="BH36" s="72"/>
      <c r="BI36" s="75"/>
      <c r="BJ36" s="150" t="s">
        <v>68</v>
      </c>
      <c r="BK36" s="150"/>
      <c r="BL36" s="150"/>
      <c r="BM36" s="150"/>
      <c r="BN36" s="72"/>
    </row>
    <row r="37" spans="13:69" x14ac:dyDescent="0.2">
      <c r="S37" s="110" t="s">
        <v>117</v>
      </c>
      <c r="U37" s="118"/>
      <c r="V37" s="119"/>
      <c r="AA37" s="118"/>
      <c r="AB37" s="119"/>
      <c r="AG37" s="118"/>
      <c r="AH37" s="119"/>
      <c r="AK37" s="67" t="s">
        <v>118</v>
      </c>
      <c r="AL37" s="67">
        <v>2014</v>
      </c>
      <c r="AM37" s="118">
        <v>9213.75</v>
      </c>
      <c r="AN37" s="119">
        <v>16386</v>
      </c>
      <c r="BC37" s="75"/>
      <c r="BD37" s="71"/>
      <c r="BE37" s="71"/>
      <c r="BF37" s="71"/>
      <c r="BG37" s="71"/>
      <c r="BH37" s="72"/>
      <c r="BI37" s="75"/>
      <c r="BJ37" s="71"/>
      <c r="BK37" s="71"/>
      <c r="BL37" s="71"/>
      <c r="BM37" s="71"/>
      <c r="BN37" s="72"/>
    </row>
    <row r="38" spans="13:69" ht="19.5" x14ac:dyDescent="0.4">
      <c r="U38" s="118"/>
      <c r="V38" s="119"/>
      <c r="AA38" s="118"/>
      <c r="AB38" s="119"/>
      <c r="AG38" s="118"/>
      <c r="AH38" s="119"/>
      <c r="AK38" s="67" t="s">
        <v>119</v>
      </c>
      <c r="AL38" s="67">
        <v>2014</v>
      </c>
      <c r="AM38" s="118">
        <v>14090.76</v>
      </c>
      <c r="AN38" s="119">
        <v>16736</v>
      </c>
      <c r="BC38" s="146" t="s">
        <v>70</v>
      </c>
      <c r="BD38" s="147"/>
      <c r="BE38" s="147"/>
      <c r="BF38" s="147"/>
      <c r="BG38" s="147"/>
      <c r="BH38" s="148"/>
      <c r="BI38" s="146" t="s">
        <v>70</v>
      </c>
      <c r="BJ38" s="147"/>
      <c r="BK38" s="147"/>
      <c r="BL38" s="147"/>
      <c r="BM38" s="147"/>
      <c r="BN38" s="148"/>
    </row>
    <row r="39" spans="13:69" x14ac:dyDescent="0.2">
      <c r="U39" s="118">
        <f>U13/12</f>
        <v>17995.083333333332</v>
      </c>
      <c r="V39" s="119"/>
      <c r="AA39" s="118"/>
      <c r="AB39" s="119"/>
      <c r="AG39" s="118"/>
      <c r="AH39" s="119"/>
      <c r="AK39" s="67" t="s">
        <v>120</v>
      </c>
      <c r="AL39" s="67">
        <v>2014</v>
      </c>
      <c r="AM39" s="118">
        <v>20138.22</v>
      </c>
      <c r="AN39" s="119">
        <v>16823</v>
      </c>
      <c r="BC39" s="75"/>
      <c r="BD39" s="71"/>
      <c r="BE39" s="71"/>
      <c r="BF39" s="71"/>
      <c r="BG39" s="71"/>
      <c r="BH39" s="72"/>
      <c r="BI39" s="75"/>
      <c r="BJ39" s="71"/>
      <c r="BK39" s="71"/>
      <c r="BL39" s="71"/>
      <c r="BM39" s="71"/>
      <c r="BN39" s="72"/>
    </row>
    <row r="40" spans="13:69" x14ac:dyDescent="0.2">
      <c r="U40" s="118"/>
      <c r="V40" s="119"/>
      <c r="AA40" s="118"/>
      <c r="AB40" s="119"/>
      <c r="AG40" s="118"/>
      <c r="AH40" s="119"/>
      <c r="AK40" s="67" t="s">
        <v>121</v>
      </c>
      <c r="AL40" s="67">
        <v>2014</v>
      </c>
      <c r="AM40" s="118">
        <v>11928.06</v>
      </c>
      <c r="AN40" s="119">
        <v>16886</v>
      </c>
      <c r="BC40" s="75"/>
      <c r="BD40" s="71"/>
      <c r="BE40" s="77"/>
      <c r="BF40" s="77" t="s">
        <v>24</v>
      </c>
      <c r="BG40" s="77" t="s">
        <v>26</v>
      </c>
      <c r="BH40" s="72"/>
      <c r="BI40" s="75"/>
      <c r="BJ40" s="71"/>
      <c r="BK40" s="77"/>
      <c r="BL40" s="77" t="s">
        <v>24</v>
      </c>
      <c r="BM40" s="77" t="s">
        <v>26</v>
      </c>
      <c r="BN40" s="72"/>
    </row>
    <row r="41" spans="13:69" x14ac:dyDescent="0.2">
      <c r="U41" s="118"/>
      <c r="V41" s="119"/>
      <c r="AA41" s="118"/>
      <c r="AB41" s="119"/>
      <c r="AG41" s="118"/>
      <c r="AH41" s="119"/>
      <c r="AK41" s="67" t="s">
        <v>122</v>
      </c>
      <c r="AL41" s="67">
        <v>2014</v>
      </c>
      <c r="AM41" s="118">
        <v>17766.7</v>
      </c>
      <c r="AN41" s="119">
        <v>16914</v>
      </c>
      <c r="BC41" s="75"/>
      <c r="BD41" s="71"/>
      <c r="BE41" s="78" t="s">
        <v>23</v>
      </c>
      <c r="BF41" s="78" t="s">
        <v>25</v>
      </c>
      <c r="BG41" s="78" t="s">
        <v>72</v>
      </c>
      <c r="BH41" s="72"/>
      <c r="BI41" s="75"/>
      <c r="BJ41" s="71"/>
      <c r="BK41" s="78" t="s">
        <v>23</v>
      </c>
      <c r="BL41" s="78" t="s">
        <v>25</v>
      </c>
      <c r="BM41" s="78" t="s">
        <v>72</v>
      </c>
      <c r="BN41" s="72"/>
    </row>
    <row r="42" spans="13:69" ht="16.5" x14ac:dyDescent="0.35">
      <c r="U42" s="118"/>
      <c r="V42" s="119"/>
      <c r="AA42" s="118"/>
      <c r="AB42" s="119"/>
      <c r="AG42" s="118"/>
      <c r="AH42" s="119"/>
      <c r="AK42" s="67" t="s">
        <v>123</v>
      </c>
      <c r="AL42" s="67">
        <v>2014</v>
      </c>
      <c r="AM42" s="118">
        <v>8137.17</v>
      </c>
      <c r="AN42" s="119">
        <v>16811</v>
      </c>
      <c r="BC42" s="79" t="s">
        <v>80</v>
      </c>
      <c r="BD42" s="80"/>
      <c r="BE42" s="81"/>
      <c r="BF42" s="81"/>
      <c r="BG42" s="81"/>
      <c r="BH42" s="72"/>
      <c r="BI42" s="79" t="s">
        <v>81</v>
      </c>
      <c r="BJ42" s="80"/>
      <c r="BK42" s="81"/>
      <c r="BL42" s="81"/>
      <c r="BM42" s="81"/>
      <c r="BN42" s="72"/>
    </row>
    <row r="43" spans="13:69" x14ac:dyDescent="0.2">
      <c r="U43" s="118"/>
      <c r="V43" s="119"/>
      <c r="AA43" s="118"/>
      <c r="AB43" s="119"/>
      <c r="AG43" s="118"/>
      <c r="AH43" s="119"/>
      <c r="AK43" s="67" t="s">
        <v>124</v>
      </c>
      <c r="AL43" s="67">
        <v>2014</v>
      </c>
      <c r="AM43" s="118">
        <v>5255.25</v>
      </c>
      <c r="AN43" s="119">
        <v>16765</v>
      </c>
      <c r="BC43" s="75" t="s">
        <v>85</v>
      </c>
      <c r="BD43" s="71"/>
      <c r="BE43" s="82">
        <f>16685+16734+16779</f>
        <v>50198</v>
      </c>
      <c r="BF43" s="83">
        <v>1.32</v>
      </c>
      <c r="BG43" s="82">
        <f>BE43*BF43</f>
        <v>66261.36</v>
      </c>
      <c r="BH43" s="72"/>
      <c r="BI43" s="75" t="s">
        <v>85</v>
      </c>
      <c r="BJ43" s="71"/>
      <c r="BK43" s="82">
        <f>SUM('[5]2011'!$J$27:$J$29)</f>
        <v>48553</v>
      </c>
      <c r="BL43" s="84">
        <v>1.32</v>
      </c>
      <c r="BM43" s="82">
        <f>BK43*BL43</f>
        <v>64089.960000000006</v>
      </c>
      <c r="BN43" s="72"/>
    </row>
    <row r="44" spans="13:69" ht="15" x14ac:dyDescent="0.35">
      <c r="U44" s="118"/>
      <c r="V44" s="119"/>
      <c r="AA44" s="118"/>
      <c r="AB44" s="119"/>
      <c r="AG44" s="118"/>
      <c r="AH44" s="119"/>
      <c r="AK44" s="67" t="s">
        <v>125</v>
      </c>
      <c r="AL44" s="67">
        <v>2015</v>
      </c>
      <c r="AM44" s="118">
        <v>24653.4</v>
      </c>
      <c r="AN44" s="119">
        <v>16775</v>
      </c>
      <c r="BC44" s="75" t="s">
        <v>28</v>
      </c>
      <c r="BD44" s="85"/>
      <c r="BE44" s="86">
        <f>16841+16850+16846+16776+16737+16640+16627+16602+16610</f>
        <v>150529</v>
      </c>
      <c r="BF44" s="84">
        <f>BN57</f>
        <v>1.63</v>
      </c>
      <c r="BG44" s="86">
        <f>BE44*BF44</f>
        <v>245362.27</v>
      </c>
      <c r="BH44" s="72"/>
      <c r="BI44" s="75" t="s">
        <v>28</v>
      </c>
      <c r="BJ44" s="85"/>
      <c r="BK44" s="86">
        <f>SUM('[5]2011'!$J$30:$J$38)</f>
        <v>149842</v>
      </c>
      <c r="BL44" s="84">
        <v>1.07</v>
      </c>
      <c r="BM44" s="86">
        <f>BK44*BL44</f>
        <v>160330.94</v>
      </c>
      <c r="BN44" s="72"/>
    </row>
    <row r="45" spans="13:69" x14ac:dyDescent="0.2">
      <c r="U45" s="118"/>
      <c r="V45" s="119"/>
      <c r="AA45" s="118"/>
      <c r="AB45" s="119"/>
      <c r="AG45" s="118"/>
      <c r="AH45" s="119"/>
      <c r="AK45" s="67" t="s">
        <v>126</v>
      </c>
      <c r="AL45" s="67">
        <v>2015</v>
      </c>
      <c r="AM45" s="118">
        <v>3948.48</v>
      </c>
      <c r="AN45" s="119">
        <v>16777</v>
      </c>
      <c r="BC45" s="75" t="s">
        <v>26</v>
      </c>
      <c r="BD45" s="71"/>
      <c r="BE45" s="82">
        <f>SUM(BE43:BE44)</f>
        <v>200727</v>
      </c>
      <c r="BF45" s="71"/>
      <c r="BG45" s="82">
        <f>SUM(BG43:BG44)</f>
        <v>311623.63</v>
      </c>
      <c r="BH45" s="72"/>
      <c r="BI45" s="75" t="s">
        <v>26</v>
      </c>
      <c r="BJ45" s="71"/>
      <c r="BK45" s="82">
        <f>SUM(BK43:BK44)</f>
        <v>198395</v>
      </c>
      <c r="BL45" s="71"/>
      <c r="BM45" s="82">
        <f>SUM(BM43:BM44)</f>
        <v>224420.90000000002</v>
      </c>
      <c r="BN45" s="72"/>
    </row>
    <row r="46" spans="13:69" x14ac:dyDescent="0.2">
      <c r="U46" s="118"/>
      <c r="V46" s="119"/>
      <c r="AA46" s="118"/>
      <c r="AB46" s="119"/>
      <c r="AG46" s="118"/>
      <c r="AH46" s="119"/>
      <c r="AK46" s="67" t="s">
        <v>127</v>
      </c>
      <c r="AL46" s="67">
        <v>2015</v>
      </c>
      <c r="AM46" s="118">
        <v>7996.59</v>
      </c>
      <c r="AN46" s="119">
        <v>16711</v>
      </c>
      <c r="BC46" s="75"/>
      <c r="BD46" s="71"/>
      <c r="BE46" s="71"/>
      <c r="BF46" s="71"/>
      <c r="BG46" s="71"/>
      <c r="BH46" s="72"/>
      <c r="BI46" s="75"/>
      <c r="BJ46" s="71"/>
      <c r="BK46" s="71"/>
      <c r="BL46" s="71"/>
      <c r="BM46" s="71"/>
      <c r="BN46" s="72"/>
    </row>
    <row r="47" spans="13:69" x14ac:dyDescent="0.2">
      <c r="U47" s="118"/>
      <c r="V47" s="119"/>
      <c r="AA47" s="118"/>
      <c r="AB47" s="119"/>
      <c r="AG47" s="118"/>
      <c r="AH47" s="119"/>
      <c r="AM47" s="118"/>
      <c r="AN47" s="119"/>
      <c r="BC47" s="68" t="s">
        <v>88</v>
      </c>
      <c r="BD47" s="71"/>
      <c r="BE47" s="71"/>
      <c r="BF47" s="71"/>
      <c r="BG47" s="82">
        <f>363513.22</f>
        <v>363513.22</v>
      </c>
      <c r="BH47" s="72"/>
      <c r="BI47" s="68" t="s">
        <v>88</v>
      </c>
      <c r="BJ47" s="71"/>
      <c r="BK47" s="71"/>
      <c r="BL47" s="71"/>
      <c r="BM47" s="82">
        <f>'[5]2011'!$F$39</f>
        <v>322653.09000000003</v>
      </c>
      <c r="BN47" s="72"/>
    </row>
    <row r="48" spans="13:69" x14ac:dyDescent="0.2">
      <c r="U48" s="118"/>
      <c r="V48" s="119"/>
      <c r="AA48" s="118"/>
      <c r="AB48" s="119"/>
      <c r="AG48" s="118"/>
      <c r="AH48" s="119"/>
      <c r="AK48" s="67" t="s">
        <v>26</v>
      </c>
      <c r="AM48" s="118">
        <f>SUM(AM35:AM47)</f>
        <v>155446.54</v>
      </c>
      <c r="AN48" s="119">
        <f>SUM(AN35:AN47)</f>
        <v>200620</v>
      </c>
      <c r="BC48" s="75"/>
      <c r="BD48" s="71"/>
      <c r="BE48" s="71"/>
      <c r="BF48" s="71"/>
      <c r="BG48" s="71"/>
      <c r="BH48" s="72"/>
      <c r="BI48" s="75"/>
      <c r="BJ48" s="71"/>
      <c r="BK48" s="71"/>
      <c r="BL48" s="71"/>
      <c r="BM48" s="71"/>
      <c r="BN48" s="72"/>
    </row>
    <row r="49" spans="21:66" x14ac:dyDescent="0.2">
      <c r="U49" s="111"/>
      <c r="V49" s="119"/>
      <c r="AA49" s="111"/>
      <c r="AB49" s="119"/>
      <c r="AG49" s="111"/>
      <c r="AH49" s="119"/>
      <c r="AM49" s="111">
        <f>AVERAGE(AM35:AM46)</f>
        <v>12953.878333333334</v>
      </c>
      <c r="AN49" s="119">
        <f>AVERAGE(AN35:AN46)</f>
        <v>16718.333333333332</v>
      </c>
      <c r="BC49" s="75" t="s">
        <v>89</v>
      </c>
      <c r="BD49" s="71"/>
      <c r="BE49" s="71"/>
      <c r="BF49" s="71"/>
      <c r="BG49" s="88">
        <f>+BG47-BG45</f>
        <v>51889.589999999967</v>
      </c>
      <c r="BH49" s="72"/>
      <c r="BI49" s="75" t="s">
        <v>89</v>
      </c>
      <c r="BJ49" s="71"/>
      <c r="BK49" s="71"/>
      <c r="BL49" s="71"/>
      <c r="BM49" s="82">
        <f>+BM47-BM45</f>
        <v>98232.19</v>
      </c>
      <c r="BN49" s="72"/>
    </row>
    <row r="50" spans="21:66" x14ac:dyDescent="0.2">
      <c r="BC50" s="75"/>
      <c r="BD50" s="71"/>
      <c r="BE50" s="71"/>
      <c r="BF50" s="71"/>
      <c r="BG50" s="71"/>
      <c r="BH50" s="72"/>
      <c r="BI50" s="75"/>
      <c r="BJ50" s="71"/>
      <c r="BK50" s="71"/>
      <c r="BL50" s="71"/>
      <c r="BM50" s="71"/>
      <c r="BN50" s="72"/>
    </row>
    <row r="51" spans="21:66" x14ac:dyDescent="0.2">
      <c r="BC51" s="75" t="s">
        <v>30</v>
      </c>
      <c r="BD51" s="71"/>
      <c r="BE51" s="71"/>
      <c r="BF51" s="71"/>
      <c r="BG51" s="82">
        <f>+BE45</f>
        <v>200727</v>
      </c>
      <c r="BH51" s="72"/>
      <c r="BI51" s="75" t="s">
        <v>30</v>
      </c>
      <c r="BJ51" s="71"/>
      <c r="BK51" s="71"/>
      <c r="BL51" s="71"/>
      <c r="BM51" s="82">
        <f>+BK45</f>
        <v>198395</v>
      </c>
      <c r="BN51" s="72"/>
    </row>
    <row r="52" spans="21:66" x14ac:dyDescent="0.2">
      <c r="BC52" s="75"/>
      <c r="BD52" s="71"/>
      <c r="BE52" s="71"/>
      <c r="BF52" s="71"/>
      <c r="BG52" s="71"/>
      <c r="BH52" s="72"/>
      <c r="BI52" s="75"/>
      <c r="BJ52" s="71"/>
      <c r="BK52" s="71"/>
      <c r="BL52" s="71"/>
      <c r="BM52" s="71"/>
      <c r="BN52" s="72"/>
    </row>
    <row r="53" spans="21:66" x14ac:dyDescent="0.2">
      <c r="BC53" s="75" t="s">
        <v>20</v>
      </c>
      <c r="BD53" s="71"/>
      <c r="BE53" s="71"/>
      <c r="BF53" s="71"/>
      <c r="BG53" s="71"/>
      <c r="BH53" s="89">
        <f>(BG49/BG51)</f>
        <v>0.2585082724297178</v>
      </c>
      <c r="BI53" s="75" t="s">
        <v>20</v>
      </c>
      <c r="BJ53" s="71"/>
      <c r="BK53" s="71"/>
      <c r="BL53" s="71"/>
      <c r="BM53" s="71"/>
      <c r="BN53" s="89">
        <f>ROUND(BM49/BM51,2)</f>
        <v>0.5</v>
      </c>
    </row>
    <row r="54" spans="21:66" x14ac:dyDescent="0.2">
      <c r="BC54" s="75"/>
      <c r="BD54" s="71"/>
      <c r="BE54" s="71"/>
      <c r="BF54" s="71"/>
      <c r="BG54" s="71"/>
      <c r="BH54" s="89"/>
      <c r="BI54" s="75"/>
      <c r="BJ54" s="71"/>
      <c r="BK54" s="71"/>
      <c r="BL54" s="71"/>
      <c r="BM54" s="71"/>
      <c r="BN54" s="89"/>
    </row>
    <row r="55" spans="21:66" ht="16.5" x14ac:dyDescent="0.35">
      <c r="BC55" s="79" t="s">
        <v>97</v>
      </c>
      <c r="BD55" s="80"/>
      <c r="BE55" s="71"/>
      <c r="BF55" s="71"/>
      <c r="BG55" s="91">
        <f>+BG47</f>
        <v>363513.22</v>
      </c>
      <c r="BH55" s="89"/>
      <c r="BI55" s="79" t="s">
        <v>98</v>
      </c>
      <c r="BJ55" s="80"/>
      <c r="BK55" s="71"/>
      <c r="BL55" s="71"/>
      <c r="BM55" s="92">
        <f>+BM47</f>
        <v>322653.09000000003</v>
      </c>
      <c r="BN55" s="89"/>
    </row>
    <row r="56" spans="21:66" x14ac:dyDescent="0.2">
      <c r="BC56" s="75" t="s">
        <v>30</v>
      </c>
      <c r="BD56" s="71"/>
      <c r="BE56" s="71"/>
      <c r="BF56" s="71"/>
      <c r="BG56" s="82">
        <f>BG51</f>
        <v>200727</v>
      </c>
      <c r="BH56" s="89"/>
      <c r="BI56" s="75" t="s">
        <v>30</v>
      </c>
      <c r="BJ56" s="71"/>
      <c r="BK56" s="71"/>
      <c r="BL56" s="71"/>
      <c r="BM56" s="82">
        <f>BM51</f>
        <v>198395</v>
      </c>
      <c r="BN56" s="89"/>
    </row>
    <row r="57" spans="21:66" ht="15" x14ac:dyDescent="0.35">
      <c r="BC57" s="75" t="s">
        <v>100</v>
      </c>
      <c r="BD57" s="71"/>
      <c r="BE57" s="71"/>
      <c r="BF57" s="71"/>
      <c r="BG57" s="71"/>
      <c r="BH57" s="93">
        <f>(BG55/BG56)</f>
        <v>1.8109831761546775</v>
      </c>
      <c r="BI57" s="75" t="s">
        <v>100</v>
      </c>
      <c r="BJ57" s="71"/>
      <c r="BK57" s="71"/>
      <c r="BL57" s="71"/>
      <c r="BM57" s="71"/>
      <c r="BN57" s="93">
        <f>ROUND(BM55/BM56,2)</f>
        <v>1.63</v>
      </c>
    </row>
    <row r="58" spans="21:66" x14ac:dyDescent="0.2">
      <c r="BC58" s="75"/>
      <c r="BD58" s="71"/>
      <c r="BE58" s="71"/>
      <c r="BF58" s="71"/>
      <c r="BG58" s="71"/>
      <c r="BH58" s="89"/>
      <c r="BI58" s="75"/>
      <c r="BJ58" s="71"/>
      <c r="BK58" s="71"/>
      <c r="BL58" s="71"/>
      <c r="BM58" s="71"/>
      <c r="BN58" s="89"/>
    </row>
    <row r="59" spans="21:66" ht="18.75" thickBot="1" x14ac:dyDescent="0.4">
      <c r="BC59" s="68" t="s">
        <v>101</v>
      </c>
      <c r="BD59" s="69"/>
      <c r="BE59" s="71"/>
      <c r="BF59" s="71"/>
      <c r="BG59" s="71"/>
      <c r="BH59" s="96">
        <f>+BH57+BH53</f>
        <v>2.0694914485843952</v>
      </c>
      <c r="BI59" s="68" t="s">
        <v>101</v>
      </c>
      <c r="BJ59" s="69"/>
      <c r="BK59" s="71"/>
      <c r="BL59" s="71"/>
      <c r="BM59" s="71"/>
      <c r="BN59" s="96">
        <f>+BN57+BN53</f>
        <v>2.13</v>
      </c>
    </row>
    <row r="60" spans="21:66" ht="13.5" thickTop="1" x14ac:dyDescent="0.2">
      <c r="BC60" s="75"/>
      <c r="BD60" s="71"/>
      <c r="BE60" s="71"/>
      <c r="BF60" s="71"/>
      <c r="BG60" s="71"/>
      <c r="BH60" s="89"/>
      <c r="BI60" s="75"/>
      <c r="BJ60" s="71"/>
      <c r="BK60" s="71"/>
      <c r="BL60" s="71"/>
      <c r="BM60" s="71"/>
      <c r="BN60" s="89"/>
    </row>
    <row r="61" spans="21:66" x14ac:dyDescent="0.2">
      <c r="BC61" s="75"/>
      <c r="BD61" s="71"/>
      <c r="BE61" s="71"/>
      <c r="BF61" s="71"/>
      <c r="BG61" s="71"/>
      <c r="BH61" s="72"/>
      <c r="BI61" s="75"/>
      <c r="BJ61" s="71"/>
      <c r="BK61" s="71"/>
      <c r="BL61" s="71"/>
      <c r="BM61" s="104"/>
      <c r="BN61" s="72"/>
    </row>
    <row r="62" spans="21:66" x14ac:dyDescent="0.2">
      <c r="BC62" s="75"/>
      <c r="BD62" s="71"/>
      <c r="BE62" s="71"/>
      <c r="BF62" s="71"/>
      <c r="BG62" s="71"/>
      <c r="BH62" s="120"/>
      <c r="BI62" s="75"/>
      <c r="BJ62" s="71"/>
      <c r="BK62" s="71"/>
      <c r="BL62" s="71"/>
      <c r="BM62" s="71"/>
      <c r="BN62" s="120"/>
    </row>
    <row r="63" spans="21:66" x14ac:dyDescent="0.2">
      <c r="BC63" s="75"/>
      <c r="BD63" s="71"/>
      <c r="BE63" s="71"/>
      <c r="BF63" s="71"/>
      <c r="BG63" s="71"/>
      <c r="BH63" s="72"/>
      <c r="BI63" s="75"/>
      <c r="BJ63" s="71"/>
      <c r="BK63" s="71"/>
      <c r="BL63" s="71"/>
      <c r="BM63" s="104"/>
      <c r="BN63" s="121"/>
    </row>
  </sheetData>
  <mergeCells count="28">
    <mergeCell ref="S4:X4"/>
    <mergeCell ref="Y4:AD4"/>
    <mergeCell ref="M4:R4"/>
    <mergeCell ref="BP4:BS4"/>
    <mergeCell ref="A4:F4"/>
    <mergeCell ref="A6:F6"/>
    <mergeCell ref="AE4:AJ4"/>
    <mergeCell ref="AK4:AP4"/>
    <mergeCell ref="AQ4:AV4"/>
    <mergeCell ref="BO6:BT6"/>
    <mergeCell ref="Y6:AD6"/>
    <mergeCell ref="BD36:BG36"/>
    <mergeCell ref="BJ36:BM36"/>
    <mergeCell ref="AW4:BB4"/>
    <mergeCell ref="BD4:BG4"/>
    <mergeCell ref="BJ4:BM4"/>
    <mergeCell ref="AE6:AJ6"/>
    <mergeCell ref="AK6:AP6"/>
    <mergeCell ref="BC38:BH38"/>
    <mergeCell ref="BI38:BN38"/>
    <mergeCell ref="G4:L4"/>
    <mergeCell ref="G6:L6"/>
    <mergeCell ref="AW6:BB6"/>
    <mergeCell ref="BC6:BH6"/>
    <mergeCell ref="BI6:BN6"/>
    <mergeCell ref="M6:R6"/>
    <mergeCell ref="AQ6:AV6"/>
    <mergeCell ref="S6:X6"/>
  </mergeCells>
  <pageMargins left="0.7" right="0.7" top="0.75" bottom="0.75" header="0.3" footer="0.3"/>
  <pageSetup orientation="landscape"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Q61"/>
  <sheetViews>
    <sheetView topLeftCell="A37" workbookViewId="0">
      <selection activeCell="J43" sqref="J43"/>
    </sheetView>
  </sheetViews>
  <sheetFormatPr defaultRowHeight="12.75" x14ac:dyDescent="0.2"/>
  <cols>
    <col min="1" max="1" width="22.5703125" customWidth="1"/>
    <col min="4" max="4" width="10.7109375" bestFit="1" customWidth="1"/>
    <col min="5" max="5" width="9.7109375" customWidth="1"/>
    <col min="6" max="6" width="12.140625" bestFit="1" customWidth="1"/>
    <col min="7" max="7" width="11.42578125" customWidth="1"/>
    <col min="11" max="11" width="13.42578125" customWidth="1"/>
    <col min="12" max="12" width="9.28515625" bestFit="1" customWidth="1"/>
    <col min="14" max="14" width="14.42578125" customWidth="1"/>
    <col min="15" max="15" width="10.7109375" bestFit="1" customWidth="1"/>
    <col min="16" max="16" width="10" bestFit="1" customWidth="1"/>
    <col min="17" max="17" width="10.7109375" bestFit="1" customWidth="1"/>
  </cols>
  <sheetData>
    <row r="1" spans="1:15" x14ac:dyDescent="0.2">
      <c r="A1" s="38" t="s">
        <v>0</v>
      </c>
      <c r="B1" s="38"/>
    </row>
    <row r="2" spans="1:15" x14ac:dyDescent="0.2">
      <c r="A2" s="38" t="s">
        <v>1</v>
      </c>
      <c r="B2" s="38"/>
      <c r="L2" s="3"/>
      <c r="M2" s="38" t="s">
        <v>32</v>
      </c>
      <c r="N2" s="46"/>
    </row>
    <row r="3" spans="1:15" x14ac:dyDescent="0.2">
      <c r="A3" s="38" t="s">
        <v>134</v>
      </c>
      <c r="B3" s="38"/>
      <c r="N3" s="45" t="s">
        <v>31</v>
      </c>
    </row>
    <row r="5" spans="1:15" x14ac:dyDescent="0.2">
      <c r="A5" s="38" t="s">
        <v>2</v>
      </c>
      <c r="B5" s="5">
        <v>43922</v>
      </c>
      <c r="C5" s="5">
        <v>43952</v>
      </c>
      <c r="D5" s="5">
        <v>43983</v>
      </c>
      <c r="E5" s="5">
        <v>44013</v>
      </c>
      <c r="F5" s="5">
        <v>44044</v>
      </c>
      <c r="G5" s="5">
        <v>44075</v>
      </c>
      <c r="H5" s="5">
        <v>44105</v>
      </c>
      <c r="I5" s="5">
        <v>44136</v>
      </c>
      <c r="J5" s="5">
        <v>44166</v>
      </c>
      <c r="K5" s="5">
        <v>44197</v>
      </c>
      <c r="L5" s="5">
        <v>44228</v>
      </c>
      <c r="M5" s="5">
        <v>44256</v>
      </c>
      <c r="N5" t="s">
        <v>11</v>
      </c>
    </row>
    <row r="6" spans="1:15" x14ac:dyDescent="0.2">
      <c r="A6" s="6" t="s">
        <v>46</v>
      </c>
      <c r="B6" s="39">
        <f>270.15*0.842</f>
        <v>227.46629999999996</v>
      </c>
      <c r="C6" s="39">
        <f>279.95*0.842</f>
        <v>235.71789999999999</v>
      </c>
      <c r="D6" s="39">
        <f>289.64*0.842</f>
        <v>243.87687999999997</v>
      </c>
      <c r="E6" s="39">
        <f>235.45*0.842</f>
        <v>198.24889999999999</v>
      </c>
      <c r="F6" s="39">
        <f>(23.86*0.842)</f>
        <v>20.090119999999999</v>
      </c>
      <c r="G6" s="39">
        <f>27.01*0.842</f>
        <v>22.742419999999999</v>
      </c>
      <c r="H6" s="39">
        <f>261.91*0.842</f>
        <v>220.52822</v>
      </c>
      <c r="I6" s="39">
        <f>255.24*0.842</f>
        <v>214.91208</v>
      </c>
      <c r="J6" s="39">
        <f>308.97*0.842</f>
        <v>260.15273999999999</v>
      </c>
      <c r="K6" s="39">
        <f>308.97*0.842</f>
        <v>260.15273999999999</v>
      </c>
      <c r="L6" s="39">
        <f>274.78*0.842</f>
        <v>231.36475999999996</v>
      </c>
      <c r="M6" s="39">
        <f>271.79*0.842</f>
        <v>228.84718000000001</v>
      </c>
      <c r="N6">
        <f>+SUM(B6:M6)</f>
        <v>2364.1002400000002</v>
      </c>
    </row>
    <row r="7" spans="1:15" x14ac:dyDescent="0.2">
      <c r="A7" s="6" t="s">
        <v>46</v>
      </c>
      <c r="B7" s="39"/>
      <c r="C7" s="39"/>
      <c r="D7" s="39"/>
      <c r="E7" s="39"/>
      <c r="F7" s="39">
        <v>91.83</v>
      </c>
      <c r="G7" s="39">
        <v>331.23</v>
      </c>
      <c r="H7" s="39"/>
      <c r="I7" s="39"/>
      <c r="J7" s="39"/>
      <c r="K7" s="39"/>
      <c r="L7" s="39"/>
      <c r="M7" s="39"/>
      <c r="N7">
        <f>+SUM(B7:M7)</f>
        <v>423.06</v>
      </c>
    </row>
    <row r="8" spans="1:15" x14ac:dyDescent="0.2">
      <c r="A8" t="s">
        <v>47</v>
      </c>
      <c r="B8">
        <v>22</v>
      </c>
      <c r="C8">
        <v>22</v>
      </c>
      <c r="D8">
        <v>22</v>
      </c>
      <c r="E8">
        <v>19</v>
      </c>
      <c r="F8">
        <v>22</v>
      </c>
      <c r="G8">
        <v>21</v>
      </c>
      <c r="H8">
        <v>22</v>
      </c>
      <c r="I8">
        <v>19</v>
      </c>
      <c r="J8">
        <v>23</v>
      </c>
      <c r="K8">
        <v>22</v>
      </c>
      <c r="L8">
        <v>19</v>
      </c>
      <c r="M8">
        <v>22</v>
      </c>
      <c r="N8">
        <f>+SUM(B8:M8)</f>
        <v>255</v>
      </c>
    </row>
    <row r="9" spans="1:15" x14ac:dyDescent="0.2">
      <c r="A9" t="s">
        <v>45</v>
      </c>
      <c r="B9" s="3">
        <f>165.25+21.52</f>
        <v>186.77</v>
      </c>
      <c r="C9" s="3">
        <f>222+28.91</f>
        <v>250.91</v>
      </c>
      <c r="D9" s="3">
        <f>163.12+21.24</f>
        <v>184.36</v>
      </c>
      <c r="E9" s="3">
        <f>171.11+22.28</f>
        <v>193.39000000000001</v>
      </c>
      <c r="F9" s="3">
        <f>192.9+25.12</f>
        <v>218.02</v>
      </c>
      <c r="G9" s="3">
        <f>190.63+24.82</f>
        <v>215.45</v>
      </c>
      <c r="H9" s="3">
        <f>180.81+23.54</f>
        <v>204.35</v>
      </c>
      <c r="I9" s="3">
        <f>149.54+19.47</f>
        <v>169.01</v>
      </c>
      <c r="J9" s="12">
        <f>179.2+23.33</f>
        <v>202.52999999999997</v>
      </c>
      <c r="K9" s="3">
        <v>312.77</v>
      </c>
      <c r="L9" s="3">
        <f>195.76+25.49</f>
        <v>221.25</v>
      </c>
      <c r="M9" s="3">
        <f>215.8+28.1</f>
        <v>243.9</v>
      </c>
      <c r="N9">
        <f>+SUM(B9:M9)</f>
        <v>2602.71</v>
      </c>
    </row>
    <row r="10" spans="1:15" s="3" customFormat="1" x14ac:dyDescent="0.2">
      <c r="A10" s="12" t="s">
        <v>45</v>
      </c>
      <c r="B10" s="3">
        <f>165.25+21.52</f>
        <v>186.77</v>
      </c>
      <c r="C10" s="3">
        <f>222+28.91</f>
        <v>250.91</v>
      </c>
      <c r="D10" s="3">
        <f>163.12+21.24</f>
        <v>184.36</v>
      </c>
      <c r="E10" s="3">
        <f>171.11+22.28</f>
        <v>193.39000000000001</v>
      </c>
      <c r="F10" s="3">
        <f>192.9+25.12</f>
        <v>218.02</v>
      </c>
      <c r="G10" s="3">
        <f>190.63+24.82</f>
        <v>215.45</v>
      </c>
      <c r="H10" s="3">
        <f>180.81+23.54</f>
        <v>204.35</v>
      </c>
      <c r="I10" s="3">
        <f>149.54+19.47</f>
        <v>169.01</v>
      </c>
      <c r="J10" s="12">
        <f>179.2+23.33</f>
        <v>202.52999999999997</v>
      </c>
      <c r="K10" s="3">
        <v>312.77</v>
      </c>
      <c r="L10" s="3">
        <f>195.76+25.49</f>
        <v>221.25</v>
      </c>
      <c r="M10" s="3">
        <f>215.8+28.1</f>
        <v>243.9</v>
      </c>
      <c r="N10">
        <f>+SUM(B10:M10)</f>
        <v>2602.71</v>
      </c>
    </row>
    <row r="11" spans="1:15" x14ac:dyDescent="0.2">
      <c r="H11" s="3"/>
      <c r="I11" s="3"/>
      <c r="J11" s="3"/>
      <c r="L11" s="3"/>
    </row>
    <row r="12" spans="1:15" x14ac:dyDescent="0.2">
      <c r="A12" s="38" t="s">
        <v>4</v>
      </c>
      <c r="H12" s="3"/>
      <c r="I12" s="3"/>
      <c r="J12" s="3"/>
      <c r="L12" s="3"/>
      <c r="O12" s="3"/>
    </row>
    <row r="13" spans="1:15" x14ac:dyDescent="0.2">
      <c r="A13" t="s">
        <v>46</v>
      </c>
      <c r="B13" s="122">
        <v>-54.2</v>
      </c>
      <c r="C13" s="122">
        <v>-54.2</v>
      </c>
      <c r="D13" s="122">
        <v>-54.2</v>
      </c>
      <c r="E13" s="122">
        <v>-54.2</v>
      </c>
      <c r="F13" s="122">
        <v>-54.2</v>
      </c>
      <c r="G13" s="122">
        <v>-54.2</v>
      </c>
      <c r="H13" s="122">
        <v>-54.2</v>
      </c>
      <c r="I13" s="122">
        <v>-54.2</v>
      </c>
      <c r="J13" s="122">
        <v>-54.2</v>
      </c>
      <c r="K13" s="122">
        <v>-54.2</v>
      </c>
      <c r="L13" s="123">
        <v>-54.2</v>
      </c>
      <c r="M13" s="122">
        <v>-30</v>
      </c>
      <c r="N13" s="4">
        <f>SUM(B13:J13)/12</f>
        <v>-40.65</v>
      </c>
      <c r="O13" s="3"/>
    </row>
    <row r="14" spans="1:15" x14ac:dyDescent="0.2">
      <c r="A14" t="s">
        <v>46</v>
      </c>
      <c r="B14" s="122"/>
      <c r="C14" s="122"/>
      <c r="D14" s="122"/>
      <c r="E14" s="122"/>
      <c r="F14" s="122">
        <v>-90</v>
      </c>
      <c r="G14" s="122">
        <v>-65</v>
      </c>
      <c r="H14" s="122"/>
      <c r="I14" s="122"/>
      <c r="J14" s="122"/>
      <c r="K14" s="122"/>
      <c r="L14" s="123"/>
      <c r="M14" s="122"/>
      <c r="N14" s="4">
        <f>SUM(B14:J14)/12</f>
        <v>-12.916666666666666</v>
      </c>
      <c r="O14" s="3"/>
    </row>
    <row r="15" spans="1:15" x14ac:dyDescent="0.2">
      <c r="A15" t="s">
        <v>33</v>
      </c>
      <c r="B15" s="122">
        <v>-225</v>
      </c>
      <c r="C15" s="122">
        <v>-225</v>
      </c>
      <c r="D15" s="122">
        <v>-225</v>
      </c>
      <c r="E15" s="122">
        <v>-225</v>
      </c>
      <c r="F15" s="122">
        <v>-225</v>
      </c>
      <c r="G15" s="122">
        <v>-225</v>
      </c>
      <c r="H15" s="122">
        <v>-225</v>
      </c>
      <c r="I15" s="122">
        <v>-225</v>
      </c>
      <c r="J15" s="122">
        <v>-225</v>
      </c>
      <c r="K15" s="122">
        <v>-225</v>
      </c>
      <c r="L15" s="122">
        <v>-225</v>
      </c>
      <c r="M15" s="122">
        <v>-225</v>
      </c>
      <c r="N15" s="4">
        <f>SUM(B15:M15)/12</f>
        <v>-225</v>
      </c>
      <c r="O15" s="3"/>
    </row>
    <row r="16" spans="1:15" s="3" customFormat="1" x14ac:dyDescent="0.2">
      <c r="A16" s="12" t="s">
        <v>45</v>
      </c>
      <c r="B16" s="123">
        <v>0</v>
      </c>
      <c r="C16" s="123">
        <v>2.5</v>
      </c>
      <c r="D16" s="123">
        <v>-2.5</v>
      </c>
      <c r="E16" s="123">
        <v>-2.5</v>
      </c>
      <c r="F16" s="123">
        <v>15</v>
      </c>
      <c r="G16" s="123">
        <v>12.5</v>
      </c>
      <c r="H16" s="123">
        <v>25</v>
      </c>
      <c r="I16" s="123">
        <v>27.5</v>
      </c>
      <c r="J16" s="123">
        <v>32.5</v>
      </c>
      <c r="K16" s="123">
        <v>27.5</v>
      </c>
      <c r="L16" s="123">
        <v>22.5</v>
      </c>
      <c r="M16" s="124">
        <v>32.5</v>
      </c>
      <c r="N16" s="13">
        <f>SUM(B16:M16)/12</f>
        <v>16.041666666666668</v>
      </c>
    </row>
    <row r="17" spans="1:17" x14ac:dyDescent="0.2">
      <c r="A17" s="12" t="s">
        <v>142</v>
      </c>
      <c r="B17" s="123">
        <v>-63.93</v>
      </c>
      <c r="C17" s="123">
        <v>-110.21</v>
      </c>
      <c r="D17" s="123">
        <v>-8.11</v>
      </c>
      <c r="E17" s="123">
        <v>-1.92</v>
      </c>
      <c r="F17" s="123">
        <v>11.01</v>
      </c>
      <c r="G17" s="123">
        <v>-17.02</v>
      </c>
      <c r="H17" s="123">
        <v>-109.28</v>
      </c>
      <c r="I17" s="123">
        <v>-135.37</v>
      </c>
      <c r="J17" s="123">
        <v>-102.19</v>
      </c>
      <c r="K17" s="123">
        <v>-58.14</v>
      </c>
      <c r="L17" s="123">
        <v>-101.63</v>
      </c>
      <c r="M17" s="133">
        <v>-77.84</v>
      </c>
      <c r="N17" s="13">
        <f>SUM(B17:M17)/12</f>
        <v>-64.552499999999995</v>
      </c>
    </row>
    <row r="18" spans="1:17" x14ac:dyDescent="0.2">
      <c r="L18" s="3"/>
      <c r="M18" s="24"/>
    </row>
    <row r="19" spans="1:17" x14ac:dyDescent="0.2">
      <c r="A19" s="38" t="s">
        <v>5</v>
      </c>
      <c r="G19" s="3"/>
      <c r="L19" s="3"/>
      <c r="M19" s="24"/>
    </row>
    <row r="20" spans="1:17" x14ac:dyDescent="0.2">
      <c r="A20" t="s">
        <v>46</v>
      </c>
      <c r="B20">
        <f>B6*B13</f>
        <v>-12328.673459999998</v>
      </c>
      <c r="C20" s="2">
        <f t="shared" ref="C20:M20" si="0">C6*C13</f>
        <v>-12775.910180000001</v>
      </c>
      <c r="D20" s="2">
        <f t="shared" si="0"/>
        <v>-13218.126896</v>
      </c>
      <c r="E20" s="2">
        <f t="shared" si="0"/>
        <v>-10745.09038</v>
      </c>
      <c r="F20" s="2">
        <f t="shared" si="0"/>
        <v>-1088.8845040000001</v>
      </c>
      <c r="G20" s="2">
        <f t="shared" si="0"/>
        <v>-1232.6391639999999</v>
      </c>
      <c r="H20" s="2">
        <f t="shared" si="0"/>
        <v>-11952.629524000002</v>
      </c>
      <c r="I20" s="2">
        <f t="shared" si="0"/>
        <v>-11648.234736</v>
      </c>
      <c r="J20" s="2">
        <f t="shared" si="0"/>
        <v>-14100.278508000001</v>
      </c>
      <c r="K20" s="2">
        <f t="shared" si="0"/>
        <v>-14100.278508000001</v>
      </c>
      <c r="L20" s="2">
        <f t="shared" si="0"/>
        <v>-12539.969991999998</v>
      </c>
      <c r="M20" s="2">
        <f t="shared" si="0"/>
        <v>-6865.4153999999999</v>
      </c>
      <c r="N20" s="2">
        <f>+SUM(B20:J20)</f>
        <v>-89090.467352000007</v>
      </c>
    </row>
    <row r="21" spans="1:17" x14ac:dyDescent="0.2">
      <c r="A21" t="s">
        <v>46</v>
      </c>
      <c r="C21" s="2"/>
      <c r="D21" s="2"/>
      <c r="E21" s="2"/>
      <c r="F21">
        <f>SUM(F7*F14)</f>
        <v>-8264.7000000000007</v>
      </c>
      <c r="G21">
        <f>SUM(G7*G14)</f>
        <v>-21529.95</v>
      </c>
      <c r="H21" s="2"/>
      <c r="I21" s="2"/>
      <c r="J21" s="2"/>
      <c r="K21" s="2"/>
      <c r="L21" s="2"/>
      <c r="M21" s="2"/>
      <c r="N21" s="2"/>
    </row>
    <row r="22" spans="1:17" x14ac:dyDescent="0.2">
      <c r="A22" t="s">
        <v>33</v>
      </c>
      <c r="B22">
        <f t="shared" ref="B22:M22" si="1">SUM(B8*B15)</f>
        <v>-4950</v>
      </c>
      <c r="C22">
        <f t="shared" si="1"/>
        <v>-4950</v>
      </c>
      <c r="D22">
        <f t="shared" si="1"/>
        <v>-4950</v>
      </c>
      <c r="E22">
        <f t="shared" si="1"/>
        <v>-4275</v>
      </c>
      <c r="F22">
        <f t="shared" si="1"/>
        <v>-4950</v>
      </c>
      <c r="G22">
        <f t="shared" si="1"/>
        <v>-4725</v>
      </c>
      <c r="H22">
        <f t="shared" si="1"/>
        <v>-4950</v>
      </c>
      <c r="I22">
        <f t="shared" si="1"/>
        <v>-4275</v>
      </c>
      <c r="J22">
        <f t="shared" si="1"/>
        <v>-5175</v>
      </c>
      <c r="K22">
        <f t="shared" si="1"/>
        <v>-4950</v>
      </c>
      <c r="L22">
        <f t="shared" si="1"/>
        <v>-4275</v>
      </c>
      <c r="M22">
        <f t="shared" si="1"/>
        <v>-4950</v>
      </c>
      <c r="N22" s="2">
        <f>+SUM(B22:M22)</f>
        <v>-57375</v>
      </c>
    </row>
    <row r="23" spans="1:17" x14ac:dyDescent="0.2">
      <c r="A23" s="6" t="s">
        <v>45</v>
      </c>
      <c r="B23">
        <f t="shared" ref="B23:M23" si="2">B10*B16</f>
        <v>0</v>
      </c>
      <c r="C23">
        <f t="shared" si="2"/>
        <v>627.27499999999998</v>
      </c>
      <c r="D23">
        <f t="shared" si="2"/>
        <v>-460.90000000000003</v>
      </c>
      <c r="E23">
        <f t="shared" si="2"/>
        <v>-483.47500000000002</v>
      </c>
      <c r="F23">
        <f t="shared" si="2"/>
        <v>3270.3</v>
      </c>
      <c r="G23">
        <f t="shared" si="2"/>
        <v>2693.125</v>
      </c>
      <c r="H23">
        <f t="shared" si="2"/>
        <v>5108.75</v>
      </c>
      <c r="I23">
        <f t="shared" si="2"/>
        <v>4647.7749999999996</v>
      </c>
      <c r="J23">
        <f t="shared" si="2"/>
        <v>6582.2249999999995</v>
      </c>
      <c r="K23">
        <f t="shared" si="2"/>
        <v>8601.1749999999993</v>
      </c>
      <c r="L23">
        <f t="shared" si="2"/>
        <v>4978.125</v>
      </c>
      <c r="M23">
        <f t="shared" si="2"/>
        <v>7926.75</v>
      </c>
      <c r="N23" s="2">
        <f>+SUM(B23:M23)</f>
        <v>43491.125</v>
      </c>
    </row>
    <row r="24" spans="1:17" x14ac:dyDescent="0.2">
      <c r="A24" s="6" t="s">
        <v>45</v>
      </c>
      <c r="B24">
        <f t="shared" ref="B24:J24" si="3">B17*B10</f>
        <v>-11940.206100000001</v>
      </c>
      <c r="C24">
        <f t="shared" si="3"/>
        <v>-27652.791099999999</v>
      </c>
      <c r="D24">
        <f t="shared" si="3"/>
        <v>-1495.1596</v>
      </c>
      <c r="E24">
        <f t="shared" si="3"/>
        <v>-371.30880000000002</v>
      </c>
      <c r="F24">
        <f t="shared" si="3"/>
        <v>2400.4002</v>
      </c>
      <c r="G24">
        <f t="shared" si="3"/>
        <v>-3666.9589999999998</v>
      </c>
      <c r="H24">
        <f t="shared" si="3"/>
        <v>-22331.367999999999</v>
      </c>
      <c r="I24">
        <f t="shared" si="3"/>
        <v>-22878.883699999998</v>
      </c>
      <c r="J24">
        <f t="shared" si="3"/>
        <v>-20696.540699999998</v>
      </c>
      <c r="K24">
        <f>K17*K10</f>
        <v>-18184.447799999998</v>
      </c>
      <c r="L24">
        <f>L17*L10</f>
        <v>-22485.637500000001</v>
      </c>
      <c r="M24">
        <f>M17*M10</f>
        <v>-18985.175999999999</v>
      </c>
      <c r="N24" s="2">
        <f>+SUM(B24:M24)</f>
        <v>-168288.07809999998</v>
      </c>
    </row>
    <row r="25" spans="1:17" x14ac:dyDescent="0.2">
      <c r="A25" t="s">
        <v>6</v>
      </c>
      <c r="B25" s="134">
        <f t="shared" ref="B25:L25" si="4">SUM(B20:B24)</f>
        <v>-29218.879560000001</v>
      </c>
      <c r="C25" s="134">
        <f t="shared" si="4"/>
        <v>-44751.42628</v>
      </c>
      <c r="D25" s="134">
        <f t="shared" si="4"/>
        <v>-20124.186496000002</v>
      </c>
      <c r="E25" s="134">
        <f t="shared" si="4"/>
        <v>-15874.874180000001</v>
      </c>
      <c r="F25" s="134">
        <f t="shared" si="4"/>
        <v>-8632.8843039999992</v>
      </c>
      <c r="G25" s="134">
        <f t="shared" si="4"/>
        <v>-28461.423164</v>
      </c>
      <c r="H25" s="134">
        <f t="shared" si="4"/>
        <v>-34125.247524000006</v>
      </c>
      <c r="I25" s="134">
        <f t="shared" si="4"/>
        <v>-34154.343435999996</v>
      </c>
      <c r="J25" s="134">
        <f t="shared" si="4"/>
        <v>-33389.594208000002</v>
      </c>
      <c r="K25" s="134">
        <f t="shared" si="4"/>
        <v>-28633.551308000002</v>
      </c>
      <c r="L25" s="134">
        <f t="shared" si="4"/>
        <v>-34322.482491999996</v>
      </c>
      <c r="M25" s="134">
        <f>SUM(M20:M24)</f>
        <v>-22873.841399999998</v>
      </c>
      <c r="N25" s="26">
        <f>SUM(B25:M25)</f>
        <v>-334562.73435199994</v>
      </c>
      <c r="P25" s="25"/>
      <c r="Q25" s="25"/>
    </row>
    <row r="28" spans="1:17" x14ac:dyDescent="0.2">
      <c r="A28" t="s">
        <v>0</v>
      </c>
      <c r="I28" t="s">
        <v>0</v>
      </c>
    </row>
    <row r="29" spans="1:17" x14ac:dyDescent="0.2">
      <c r="A29" s="6" t="s">
        <v>141</v>
      </c>
    </row>
    <row r="30" spans="1:17" x14ac:dyDescent="0.2">
      <c r="E30" s="14"/>
      <c r="H30" s="3"/>
      <c r="I30" t="s">
        <v>9</v>
      </c>
      <c r="J30" s="1" t="s">
        <v>10</v>
      </c>
      <c r="K30" t="s">
        <v>34</v>
      </c>
    </row>
    <row r="31" spans="1:17" x14ac:dyDescent="0.2">
      <c r="A31" s="3"/>
      <c r="B31" s="3"/>
      <c r="C31" s="3"/>
      <c r="D31" s="3"/>
      <c r="E31" s="3"/>
      <c r="N31" s="24"/>
      <c r="O31" s="24"/>
    </row>
    <row r="32" spans="1:17" x14ac:dyDescent="0.2">
      <c r="A32" s="11" t="s">
        <v>135</v>
      </c>
      <c r="B32" s="10"/>
      <c r="C32" s="10"/>
      <c r="D32" s="10">
        <f>J32</f>
        <v>17595</v>
      </c>
      <c r="I32" s="37">
        <v>43922</v>
      </c>
      <c r="J32" s="33">
        <v>17595</v>
      </c>
      <c r="K32" s="4">
        <f>B25</f>
        <v>-29218.879560000001</v>
      </c>
      <c r="N32" s="21"/>
      <c r="O32" s="22"/>
    </row>
    <row r="33" spans="1:15" x14ac:dyDescent="0.2">
      <c r="A33" s="11" t="s">
        <v>136</v>
      </c>
      <c r="B33" s="10"/>
      <c r="C33" s="10"/>
      <c r="D33" s="10">
        <f>J33</f>
        <v>17634</v>
      </c>
      <c r="I33" s="37">
        <v>43952</v>
      </c>
      <c r="J33" s="33">
        <v>17634</v>
      </c>
      <c r="K33" s="4">
        <f>C25</f>
        <v>-44751.42628</v>
      </c>
      <c r="N33" s="23"/>
      <c r="O33" s="23"/>
    </row>
    <row r="34" spans="1:15" x14ac:dyDescent="0.2">
      <c r="A34" s="11" t="s">
        <v>137</v>
      </c>
      <c r="B34" s="10"/>
      <c r="C34" s="10"/>
      <c r="D34" s="10">
        <f>J34</f>
        <v>17725</v>
      </c>
      <c r="E34" s="3"/>
      <c r="I34" s="37">
        <v>43983</v>
      </c>
      <c r="J34" s="33">
        <v>17725</v>
      </c>
      <c r="K34" s="4">
        <f>D25</f>
        <v>-20124.186496000002</v>
      </c>
      <c r="N34" s="24"/>
      <c r="O34" s="25"/>
    </row>
    <row r="35" spans="1:15" x14ac:dyDescent="0.2">
      <c r="B35" s="10" t="s">
        <v>8</v>
      </c>
      <c r="C35" s="10"/>
      <c r="D35" s="34">
        <f>SUM(D31:D34)</f>
        <v>52954</v>
      </c>
      <c r="I35" s="37">
        <v>44013</v>
      </c>
      <c r="J35" s="33">
        <v>17814</v>
      </c>
      <c r="K35" s="4">
        <f>E25</f>
        <v>-15874.874180000001</v>
      </c>
      <c r="N35" s="24"/>
      <c r="O35" s="25"/>
    </row>
    <row r="36" spans="1:15" x14ac:dyDescent="0.2">
      <c r="D36" s="19"/>
      <c r="I36" s="37">
        <v>44044</v>
      </c>
      <c r="J36" s="33">
        <v>17872</v>
      </c>
      <c r="K36" s="4">
        <f>F25</f>
        <v>-8632.8843039999992</v>
      </c>
      <c r="N36" s="24"/>
      <c r="O36" s="25"/>
    </row>
    <row r="37" spans="1:15" x14ac:dyDescent="0.2">
      <c r="A37" s="35" t="s">
        <v>7</v>
      </c>
      <c r="B37" s="36"/>
      <c r="C37" s="36"/>
      <c r="D37" s="36">
        <f>SUM(181632.22/52954)</f>
        <v>3.43</v>
      </c>
      <c r="E37" s="3"/>
      <c r="F37" s="10">
        <f>D35*D37</f>
        <v>181632.22</v>
      </c>
      <c r="I37" s="37">
        <v>44075</v>
      </c>
      <c r="J37" s="33">
        <v>17857</v>
      </c>
      <c r="K37" s="4">
        <f>G25</f>
        <v>-28461.423164</v>
      </c>
      <c r="N37" s="24"/>
      <c r="O37" s="25"/>
    </row>
    <row r="38" spans="1:15" x14ac:dyDescent="0.2">
      <c r="A38" s="27"/>
      <c r="B38" s="27"/>
      <c r="C38" s="27"/>
      <c r="D38" s="28"/>
      <c r="E38" s="3"/>
      <c r="F38" s="3"/>
      <c r="I38" s="37">
        <v>44105</v>
      </c>
      <c r="J38" s="33">
        <v>17801</v>
      </c>
      <c r="K38" s="4">
        <f>H25</f>
        <v>-34125.247524000006</v>
      </c>
      <c r="N38" s="24"/>
      <c r="O38" s="25"/>
    </row>
    <row r="39" spans="1:15" x14ac:dyDescent="0.2">
      <c r="D39" s="19"/>
      <c r="I39" s="37">
        <v>44136</v>
      </c>
      <c r="J39" s="33">
        <v>17901</v>
      </c>
      <c r="K39" s="4">
        <f>I25</f>
        <v>-34154.343435999996</v>
      </c>
      <c r="N39" s="24"/>
      <c r="O39" s="25"/>
    </row>
    <row r="40" spans="1:15" x14ac:dyDescent="0.2">
      <c r="A40" s="29" t="s">
        <v>138</v>
      </c>
      <c r="B40" s="30"/>
      <c r="C40" s="30"/>
      <c r="D40" s="31">
        <f>SUM(J35:J43)</f>
        <v>142848</v>
      </c>
      <c r="H40" s="3"/>
      <c r="I40" s="37">
        <v>44166</v>
      </c>
      <c r="J40" s="33">
        <v>17897</v>
      </c>
      <c r="K40" s="4">
        <f>J25</f>
        <v>-33389.594208000002</v>
      </c>
      <c r="N40" s="25"/>
      <c r="O40" s="25"/>
    </row>
    <row r="41" spans="1:15" x14ac:dyDescent="0.2">
      <c r="A41" s="30" t="s">
        <v>7</v>
      </c>
      <c r="B41" s="30"/>
      <c r="C41" s="30"/>
      <c r="D41" s="32">
        <v>0.34</v>
      </c>
      <c r="F41" s="33">
        <f>D40*D41</f>
        <v>48568.320000000007</v>
      </c>
      <c r="H41" s="3"/>
      <c r="I41" s="37">
        <v>44197</v>
      </c>
      <c r="J41" s="33">
        <v>17929</v>
      </c>
      <c r="K41" s="4">
        <f>K25</f>
        <v>-28633.551308000002</v>
      </c>
    </row>
    <row r="42" spans="1:15" x14ac:dyDescent="0.2">
      <c r="D42" s="19"/>
      <c r="I42" s="37">
        <v>44228</v>
      </c>
      <c r="J42" s="33">
        <v>17777</v>
      </c>
      <c r="K42" s="4">
        <f>L25</f>
        <v>-34322.482491999996</v>
      </c>
    </row>
    <row r="43" spans="1:15" x14ac:dyDescent="0.2">
      <c r="A43" s="12" t="s">
        <v>133</v>
      </c>
      <c r="B43" s="3"/>
      <c r="C43" s="3"/>
      <c r="D43" s="13"/>
      <c r="E43" s="13"/>
      <c r="F43" s="20">
        <f>SUM(F37:F42)</f>
        <v>230200.54</v>
      </c>
      <c r="G43" s="4"/>
      <c r="I43" s="37">
        <v>44256</v>
      </c>
      <c r="J43" s="33"/>
      <c r="K43" s="4">
        <f>M25</f>
        <v>-22873.841399999998</v>
      </c>
    </row>
    <row r="44" spans="1:15" x14ac:dyDescent="0.2">
      <c r="A44" s="7" t="s">
        <v>132</v>
      </c>
      <c r="B44" s="8"/>
      <c r="C44" s="8"/>
      <c r="D44" s="9"/>
      <c r="E44" s="9"/>
      <c r="F44" s="9">
        <f>N25</f>
        <v>-334562.73435199994</v>
      </c>
      <c r="G44" s="4"/>
      <c r="I44" s="15" t="s">
        <v>11</v>
      </c>
      <c r="J44" s="15">
        <f>SUM(J32:J43)</f>
        <v>195802</v>
      </c>
      <c r="K44" s="16">
        <f>SUM(K32:K43)</f>
        <v>-334562.73435199994</v>
      </c>
      <c r="L44" s="16">
        <f>SUM(K44/J44)</f>
        <v>-1.7086788406247124</v>
      </c>
    </row>
    <row r="45" spans="1:15" x14ac:dyDescent="0.2">
      <c r="D45" s="4"/>
      <c r="E45" s="4"/>
      <c r="F45" s="4"/>
      <c r="G45" s="4"/>
      <c r="I45" s="17" t="s">
        <v>12</v>
      </c>
      <c r="J45" s="18">
        <f>+SUM(J44/12)</f>
        <v>16316.833333333334</v>
      </c>
      <c r="K45" s="16">
        <f>+SUM(K44/12)</f>
        <v>-27880.227862666663</v>
      </c>
      <c r="L45" s="16">
        <f>SUM(K45/J45)</f>
        <v>-1.7086788406247124</v>
      </c>
    </row>
    <row r="46" spans="1:15" x14ac:dyDescent="0.2">
      <c r="A46" t="s">
        <v>35</v>
      </c>
      <c r="D46" s="4"/>
      <c r="E46" s="4"/>
      <c r="F46" s="4">
        <f>+SUM(F44+F43)</f>
        <v>-104362.19435199993</v>
      </c>
      <c r="G46" s="4"/>
    </row>
    <row r="47" spans="1:15" x14ac:dyDescent="0.2">
      <c r="D47" s="4"/>
      <c r="E47" s="4"/>
      <c r="F47" s="4"/>
      <c r="G47" s="4"/>
    </row>
    <row r="48" spans="1:15" x14ac:dyDescent="0.2">
      <c r="A48" t="s">
        <v>16</v>
      </c>
      <c r="D48" s="4"/>
      <c r="E48" s="4"/>
      <c r="F48" s="4"/>
      <c r="G48" s="4"/>
    </row>
    <row r="49" spans="1:7" x14ac:dyDescent="0.2">
      <c r="D49" s="4"/>
      <c r="E49" s="4"/>
      <c r="F49" s="4"/>
      <c r="G49" s="4"/>
    </row>
    <row r="50" spans="1:7" x14ac:dyDescent="0.2">
      <c r="A50" t="s">
        <v>37</v>
      </c>
      <c r="D50" s="4"/>
      <c r="E50" s="4"/>
      <c r="F50" s="4">
        <f>F46</f>
        <v>-104362.19435199993</v>
      </c>
      <c r="G50" s="4"/>
    </row>
    <row r="51" spans="1:7" x14ac:dyDescent="0.2">
      <c r="A51" t="s">
        <v>18</v>
      </c>
      <c r="D51" s="4"/>
      <c r="E51" s="4"/>
      <c r="F51" s="4">
        <f>J44/12</f>
        <v>16316.833333333334</v>
      </c>
      <c r="G51" s="4"/>
    </row>
    <row r="52" spans="1:7" x14ac:dyDescent="0.2">
      <c r="A52" t="s">
        <v>36</v>
      </c>
      <c r="D52" s="4"/>
      <c r="E52" s="4"/>
      <c r="F52" s="4">
        <f>SUM(F46/F51)</f>
        <v>-6.3959833516715818</v>
      </c>
      <c r="G52" s="4"/>
    </row>
    <row r="53" spans="1:7" x14ac:dyDescent="0.2">
      <c r="A53" t="s">
        <v>17</v>
      </c>
      <c r="D53" s="4"/>
      <c r="E53" s="4"/>
      <c r="F53" s="4">
        <f>SUM(F52/12)</f>
        <v>-0.53299861263929849</v>
      </c>
      <c r="G53" s="4"/>
    </row>
    <row r="54" spans="1:7" x14ac:dyDescent="0.2">
      <c r="D54" s="4"/>
      <c r="E54" s="4"/>
      <c r="F54" s="4"/>
      <c r="G54" s="4"/>
    </row>
    <row r="55" spans="1:7" x14ac:dyDescent="0.2">
      <c r="A55" t="s">
        <v>13</v>
      </c>
      <c r="D55" s="4"/>
      <c r="E55" s="4"/>
      <c r="F55" s="4"/>
      <c r="G55" s="4"/>
    </row>
    <row r="56" spans="1:7" x14ac:dyDescent="0.2">
      <c r="A56" t="s">
        <v>38</v>
      </c>
      <c r="D56" s="4"/>
      <c r="E56" s="4"/>
      <c r="F56" s="4"/>
      <c r="G56" s="4">
        <f>+N25</f>
        <v>-334562.73435199994</v>
      </c>
    </row>
    <row r="57" spans="1:7" x14ac:dyDescent="0.2">
      <c r="A57" t="s">
        <v>14</v>
      </c>
      <c r="D57" s="4"/>
      <c r="E57" s="4"/>
      <c r="F57" s="4"/>
      <c r="G57" s="125">
        <f>J44</f>
        <v>195802</v>
      </c>
    </row>
    <row r="58" spans="1:7" x14ac:dyDescent="0.2">
      <c r="D58" s="4"/>
      <c r="E58" s="4"/>
      <c r="F58" s="4"/>
      <c r="G58" s="4"/>
    </row>
    <row r="59" spans="1:7" x14ac:dyDescent="0.2">
      <c r="A59" s="6" t="s">
        <v>48</v>
      </c>
      <c r="D59" s="4"/>
      <c r="E59" s="4"/>
      <c r="F59" s="4"/>
      <c r="G59" s="4">
        <f>ROUND(SUM(G56/G57),2)</f>
        <v>-1.71</v>
      </c>
    </row>
    <row r="60" spans="1:7" x14ac:dyDescent="0.2">
      <c r="A60" t="s">
        <v>15</v>
      </c>
      <c r="D60" s="4"/>
      <c r="E60" s="4"/>
      <c r="F60" s="4"/>
      <c r="G60" s="4">
        <f>+F53</f>
        <v>-0.53299861263929849</v>
      </c>
    </row>
    <row r="61" spans="1:7" x14ac:dyDescent="0.2">
      <c r="A61" t="s">
        <v>39</v>
      </c>
      <c r="D61" s="4"/>
      <c r="E61" s="4"/>
      <c r="F61" s="4"/>
      <c r="G61" s="20">
        <f>ROUND(SUM(G59:G60),2)</f>
        <v>-2.2400000000000002</v>
      </c>
    </row>
  </sheetData>
  <pageMargins left="0.75" right="0.75" top="0.65" bottom="0.64" header="0.34" footer="0.5"/>
  <pageSetup scale="66" orientation="landscape" r:id="rId1"/>
  <headerFooter alignWithMargins="0"/>
  <ignoredErrors>
    <ignoredError sqref="D40" formulaRange="1"/>
  </ignoredError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9"/>
  <sheetViews>
    <sheetView workbookViewId="0">
      <selection activeCell="G35" sqref="G35"/>
    </sheetView>
  </sheetViews>
  <sheetFormatPr defaultRowHeight="12.75" x14ac:dyDescent="0.2"/>
  <cols>
    <col min="6" max="9" width="12.7109375" style="39" customWidth="1"/>
  </cols>
  <sheetData>
    <row r="1" spans="1:9" x14ac:dyDescent="0.2">
      <c r="A1" t="s">
        <v>19</v>
      </c>
    </row>
    <row r="2" spans="1:9" x14ac:dyDescent="0.2">
      <c r="A2" t="s">
        <v>20</v>
      </c>
    </row>
    <row r="3" spans="1:9" x14ac:dyDescent="0.2">
      <c r="A3">
        <v>2020</v>
      </c>
      <c r="B3">
        <v>2021</v>
      </c>
    </row>
    <row r="4" spans="1:9" x14ac:dyDescent="0.2">
      <c r="A4" t="s">
        <v>21</v>
      </c>
      <c r="F4" s="39" t="s">
        <v>22</v>
      </c>
    </row>
    <row r="8" spans="1:9" x14ac:dyDescent="0.2">
      <c r="G8" s="39" t="s">
        <v>24</v>
      </c>
      <c r="H8" s="39" t="s">
        <v>26</v>
      </c>
    </row>
    <row r="9" spans="1:9" x14ac:dyDescent="0.2">
      <c r="F9" s="39" t="s">
        <v>23</v>
      </c>
      <c r="G9" s="39" t="s">
        <v>25</v>
      </c>
      <c r="H9" s="39" t="s">
        <v>40</v>
      </c>
    </row>
    <row r="10" spans="1:9" x14ac:dyDescent="0.2">
      <c r="A10" s="38" t="s">
        <v>144</v>
      </c>
      <c r="F10" s="40"/>
      <c r="G10" s="40"/>
      <c r="H10" s="40"/>
      <c r="I10" s="40"/>
    </row>
    <row r="11" spans="1:9" x14ac:dyDescent="0.2">
      <c r="A11" s="6" t="s">
        <v>27</v>
      </c>
      <c r="F11" s="59">
        <f>'2020 WORKING COPY '!D35</f>
        <v>52954</v>
      </c>
      <c r="G11" s="40">
        <f>'2021 Staff Analysis'!L27</f>
        <v>-2.3437969672726262</v>
      </c>
      <c r="H11" s="59">
        <f>F11*G11</f>
        <v>-124113.42460495465</v>
      </c>
      <c r="I11" s="40"/>
    </row>
    <row r="12" spans="1:9" x14ac:dyDescent="0.2">
      <c r="A12" s="6" t="s">
        <v>28</v>
      </c>
      <c r="F12" s="60">
        <f>'2020 WORKING COPY '!D40</f>
        <v>142848</v>
      </c>
      <c r="G12" s="40">
        <f>'2021 Staff Analysis'!F25</f>
        <v>-1.7086788406247124</v>
      </c>
      <c r="H12" s="59">
        <f>F12*G12</f>
        <v>-244081.35502555891</v>
      </c>
      <c r="I12" s="40"/>
    </row>
    <row r="13" spans="1:9" x14ac:dyDescent="0.2">
      <c r="A13" s="6" t="s">
        <v>11</v>
      </c>
      <c r="F13" s="59">
        <f>SUM(F11:F12)</f>
        <v>195802</v>
      </c>
      <c r="G13" s="40"/>
      <c r="H13" s="61">
        <f>SUM(H11:H12)</f>
        <v>-368194.77963051357</v>
      </c>
      <c r="I13" s="40"/>
    </row>
    <row r="14" spans="1:9" x14ac:dyDescent="0.2">
      <c r="F14" s="40"/>
      <c r="G14" s="40"/>
      <c r="H14" s="40"/>
      <c r="I14" s="40"/>
    </row>
    <row r="15" spans="1:9" x14ac:dyDescent="0.2">
      <c r="A15" s="6" t="s">
        <v>41</v>
      </c>
      <c r="F15" s="40"/>
      <c r="G15" s="40"/>
      <c r="H15" s="59">
        <f>'2020 WORKING COPY '!F44</f>
        <v>-334562.73435199994</v>
      </c>
      <c r="I15" s="40"/>
    </row>
    <row r="16" spans="1:9" x14ac:dyDescent="0.2">
      <c r="F16" s="40"/>
      <c r="G16" s="40"/>
      <c r="H16" s="40"/>
      <c r="I16" s="40"/>
    </row>
    <row r="17" spans="1:9" x14ac:dyDescent="0.2">
      <c r="A17" s="6" t="s">
        <v>42</v>
      </c>
      <c r="F17" s="40"/>
      <c r="G17" s="40"/>
      <c r="H17" s="59">
        <f>H15+H13</f>
        <v>-702757.51398251345</v>
      </c>
      <c r="I17" s="40"/>
    </row>
    <row r="18" spans="1:9" x14ac:dyDescent="0.2">
      <c r="F18" s="40"/>
      <c r="G18" s="40"/>
      <c r="H18" s="40"/>
      <c r="I18" s="40"/>
    </row>
    <row r="19" spans="1:9" x14ac:dyDescent="0.2">
      <c r="A19" s="6" t="s">
        <v>29</v>
      </c>
      <c r="F19" s="40"/>
      <c r="G19" s="40"/>
      <c r="H19" s="59">
        <f>'2020 WORKING COPY '!G57</f>
        <v>195802</v>
      </c>
      <c r="I19" s="40"/>
    </row>
    <row r="20" spans="1:9" x14ac:dyDescent="0.2">
      <c r="F20" s="40"/>
      <c r="G20" s="40"/>
      <c r="H20" s="59"/>
      <c r="I20" s="40"/>
    </row>
    <row r="21" spans="1:9" x14ac:dyDescent="0.2">
      <c r="A21" s="6" t="s">
        <v>20</v>
      </c>
      <c r="F21" s="40"/>
      <c r="G21" s="40"/>
      <c r="H21" s="59"/>
      <c r="I21" s="40">
        <f>H17/H19</f>
        <v>-3.5891232672930484</v>
      </c>
    </row>
    <row r="22" spans="1:9" x14ac:dyDescent="0.2">
      <c r="F22" s="40"/>
      <c r="G22" s="40"/>
      <c r="H22" s="59"/>
      <c r="I22" s="40"/>
    </row>
    <row r="23" spans="1:9" x14ac:dyDescent="0.2">
      <c r="F23" s="40"/>
      <c r="G23" s="40"/>
      <c r="H23" s="59"/>
      <c r="I23" s="40"/>
    </row>
    <row r="24" spans="1:9" x14ac:dyDescent="0.2">
      <c r="A24" s="38" t="s">
        <v>143</v>
      </c>
      <c r="F24" s="40"/>
      <c r="G24" s="40"/>
      <c r="H24" s="59">
        <f>'2020 WORKING COPY '!G56</f>
        <v>-334562.73435199994</v>
      </c>
      <c r="I24" s="40"/>
    </row>
    <row r="25" spans="1:9" x14ac:dyDescent="0.2">
      <c r="A25" s="6" t="s">
        <v>30</v>
      </c>
      <c r="F25" s="40"/>
      <c r="G25" s="40"/>
      <c r="H25" s="59">
        <f>'2020 WORKING COPY '!G57</f>
        <v>195802</v>
      </c>
      <c r="I25" s="40"/>
    </row>
    <row r="26" spans="1:9" x14ac:dyDescent="0.2">
      <c r="A26" s="6" t="s">
        <v>43</v>
      </c>
      <c r="F26" s="40"/>
      <c r="G26" s="40"/>
      <c r="H26" s="59"/>
      <c r="I26" s="41">
        <f>H24/H25</f>
        <v>-1.7086788406247124</v>
      </c>
    </row>
    <row r="27" spans="1:9" x14ac:dyDescent="0.2">
      <c r="F27" s="40"/>
      <c r="G27" s="40"/>
      <c r="H27" s="40"/>
      <c r="I27" s="40"/>
    </row>
    <row r="28" spans="1:9" ht="13.5" thickBot="1" x14ac:dyDescent="0.25">
      <c r="A28" s="6" t="s">
        <v>44</v>
      </c>
      <c r="F28" s="40"/>
      <c r="G28" s="40"/>
      <c r="H28" s="40"/>
      <c r="I28" s="42">
        <f>SUM(I21:I27)</f>
        <v>-5.2978021079177608</v>
      </c>
    </row>
    <row r="29" spans="1:9" ht="13.5" thickTop="1" x14ac:dyDescent="0.2"/>
  </sheetData>
  <pageMargins left="0.7" right="0.7" top="0.75" bottom="0.75" header="0.3" footer="0.3"/>
  <pageSetup scale="96"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56"/>
  <sheetViews>
    <sheetView workbookViewId="0">
      <selection activeCell="Q14" sqref="Q14"/>
    </sheetView>
  </sheetViews>
  <sheetFormatPr defaultRowHeight="12.75" x14ac:dyDescent="0.2"/>
  <cols>
    <col min="1" max="1" width="17.85546875" customWidth="1"/>
    <col min="2" max="2" width="12" customWidth="1"/>
    <col min="3" max="3" width="10.85546875" customWidth="1"/>
    <col min="4" max="4" width="10.7109375" bestFit="1" customWidth="1"/>
    <col min="5" max="5" width="9.7109375" customWidth="1"/>
    <col min="6" max="6" width="12.28515625" customWidth="1"/>
    <col min="7" max="8" width="12" customWidth="1"/>
    <col min="9" max="9" width="10.140625" customWidth="1"/>
    <col min="10" max="10" width="11.42578125" customWidth="1"/>
    <col min="11" max="11" width="13.5703125" customWidth="1"/>
    <col min="12" max="12" width="9.85546875" customWidth="1"/>
    <col min="13" max="13" width="12" customWidth="1"/>
    <col min="14" max="14" width="11.5703125" customWidth="1"/>
  </cols>
  <sheetData>
    <row r="1" spans="1:14" x14ac:dyDescent="0.2">
      <c r="A1" t="str">
        <f>'2020 WORKING COPY '!A1</f>
        <v>RUBATINO REFUSE REMOVAL, INC.</v>
      </c>
    </row>
    <row r="2" spans="1:14" x14ac:dyDescent="0.2">
      <c r="A2" t="str">
        <f>'2020 WORKING COPY '!A2</f>
        <v>COMMODITY ADJUSTMENT</v>
      </c>
      <c r="N2" s="45" t="s">
        <v>31</v>
      </c>
    </row>
    <row r="3" spans="1:14" x14ac:dyDescent="0.2">
      <c r="A3" t="str">
        <f>'2020 WORKING COPY '!A3</f>
        <v>Apr 2020-Mar 2021</v>
      </c>
    </row>
    <row r="5" spans="1:14" x14ac:dyDescent="0.2">
      <c r="A5" t="str">
        <f>'2020 WORKING COPY '!A5</f>
        <v>TONS</v>
      </c>
      <c r="B5" s="43">
        <f>'2020 WORKING COPY '!B5</f>
        <v>43922</v>
      </c>
      <c r="C5" s="43">
        <f>'2020 WORKING COPY '!C5</f>
        <v>43952</v>
      </c>
      <c r="D5" s="43">
        <f>'2020 WORKING COPY '!D5</f>
        <v>43983</v>
      </c>
      <c r="E5" s="43">
        <f>'2020 WORKING COPY '!E5</f>
        <v>44013</v>
      </c>
      <c r="F5" s="43">
        <f>'2020 WORKING COPY '!F5</f>
        <v>44044</v>
      </c>
      <c r="G5" s="43">
        <f>'2020 WORKING COPY '!G5</f>
        <v>44075</v>
      </c>
      <c r="H5" s="43">
        <f>'2020 WORKING COPY '!H5</f>
        <v>44105</v>
      </c>
      <c r="I5" s="43">
        <f>'2020 WORKING COPY '!I5</f>
        <v>44136</v>
      </c>
      <c r="J5" s="43">
        <f>'2020 WORKING COPY '!J5</f>
        <v>44166</v>
      </c>
      <c r="K5" s="43">
        <f>'2020 WORKING COPY '!K5</f>
        <v>44197</v>
      </c>
      <c r="L5" s="43">
        <f>'2020 WORKING COPY '!L5</f>
        <v>44228</v>
      </c>
      <c r="M5" s="43">
        <f>'2020 WORKING COPY '!M5</f>
        <v>44256</v>
      </c>
      <c r="N5" t="str">
        <f>'2020 WORKING COPY '!N5</f>
        <v>TOTAL</v>
      </c>
    </row>
    <row r="6" spans="1:14" x14ac:dyDescent="0.2">
      <c r="A6" t="str">
        <f>'2020 WORKING COPY '!A6</f>
        <v>Bottles &amp; Cans</v>
      </c>
      <c r="B6" s="2">
        <f>'2020 WORKING COPY '!B6</f>
        <v>227.46629999999996</v>
      </c>
      <c r="C6" s="2">
        <f>'2020 WORKING COPY '!C6</f>
        <v>235.71789999999999</v>
      </c>
      <c r="D6" s="2">
        <f>'2020 WORKING COPY '!D6</f>
        <v>243.87687999999997</v>
      </c>
      <c r="E6" s="2">
        <f>'2020 WORKING COPY '!E6</f>
        <v>198.24889999999999</v>
      </c>
      <c r="F6" s="2">
        <f>'2020 WORKING COPY '!F6</f>
        <v>20.090119999999999</v>
      </c>
      <c r="G6" s="2">
        <f>'2020 WORKING COPY '!G6</f>
        <v>22.742419999999999</v>
      </c>
      <c r="H6" s="2">
        <f>'2020 WORKING COPY '!H6</f>
        <v>220.52822</v>
      </c>
      <c r="I6" s="2">
        <f>'2020 WORKING COPY '!I6</f>
        <v>214.91208</v>
      </c>
      <c r="J6" s="2">
        <f>'2020 WORKING COPY '!J6</f>
        <v>260.15273999999999</v>
      </c>
      <c r="K6" s="2">
        <f>'2020 WORKING COPY '!K6</f>
        <v>260.15273999999999</v>
      </c>
      <c r="L6" s="2">
        <f>'2020 WORKING COPY '!L6</f>
        <v>231.36475999999996</v>
      </c>
      <c r="M6" s="2">
        <f>'2020 WORKING COPY '!M6</f>
        <v>228.84718000000001</v>
      </c>
      <c r="N6" s="2">
        <f>'2020 WORKING COPY '!N6</f>
        <v>2364.1002400000002</v>
      </c>
    </row>
    <row r="7" spans="1:14" x14ac:dyDescent="0.2">
      <c r="A7" t="str">
        <f>'2020 WORKING COPY '!A8</f>
        <v>CG-Mix Rec.-per load</v>
      </c>
      <c r="B7" s="2">
        <f>'2020 WORKING COPY '!B8</f>
        <v>22</v>
      </c>
      <c r="C7" s="2">
        <f>'2020 WORKING COPY '!C8</f>
        <v>22</v>
      </c>
      <c r="D7" s="2">
        <f>'2020 WORKING COPY '!D8</f>
        <v>22</v>
      </c>
      <c r="E7" s="2">
        <f>'2020 WORKING COPY '!E8</f>
        <v>19</v>
      </c>
      <c r="F7" s="2">
        <f>'2020 WORKING COPY '!F8</f>
        <v>22</v>
      </c>
      <c r="G7" s="2">
        <f>'2020 WORKING COPY '!G8</f>
        <v>21</v>
      </c>
      <c r="H7" s="2">
        <f>'2020 WORKING COPY '!H8</f>
        <v>22</v>
      </c>
      <c r="I7" s="2">
        <f>'2020 WORKING COPY '!I8</f>
        <v>19</v>
      </c>
      <c r="J7" s="2">
        <f>'2020 WORKING COPY '!J8</f>
        <v>23</v>
      </c>
      <c r="K7" s="2">
        <f>'2020 WORKING COPY '!K8</f>
        <v>22</v>
      </c>
      <c r="L7" s="2">
        <f>'2020 WORKING COPY '!L8</f>
        <v>19</v>
      </c>
      <c r="M7" s="2">
        <f>'2020 WORKING COPY '!M8</f>
        <v>22</v>
      </c>
      <c r="N7" s="2">
        <f>'2020 WORKING COPY '!N8</f>
        <v>255</v>
      </c>
    </row>
    <row r="8" spans="1:14" x14ac:dyDescent="0.2">
      <c r="A8" t="str">
        <f>'2020 WORKING COPY '!A10</f>
        <v>Mixed Paper</v>
      </c>
      <c r="B8" s="2">
        <f>'2020 WORKING COPY '!B10</f>
        <v>186.77</v>
      </c>
      <c r="C8" s="2">
        <f>'2020 WORKING COPY '!C10</f>
        <v>250.91</v>
      </c>
      <c r="D8" s="2">
        <f>'2020 WORKING COPY '!D10</f>
        <v>184.36</v>
      </c>
      <c r="E8" s="2">
        <f>'2020 WORKING COPY '!E10</f>
        <v>193.39000000000001</v>
      </c>
      <c r="F8" s="2">
        <f>'2020 WORKING COPY '!F10</f>
        <v>218.02</v>
      </c>
      <c r="G8" s="2">
        <f>'2020 WORKING COPY '!G10</f>
        <v>215.45</v>
      </c>
      <c r="H8" s="2">
        <f>'2020 WORKING COPY '!H10</f>
        <v>204.35</v>
      </c>
      <c r="I8" s="2">
        <f>'2020 WORKING COPY '!I10</f>
        <v>169.01</v>
      </c>
      <c r="J8" s="2">
        <f>'2020 WORKING COPY '!J10</f>
        <v>202.52999999999997</v>
      </c>
      <c r="K8" s="2">
        <f>'2020 WORKING COPY '!K10</f>
        <v>312.77</v>
      </c>
      <c r="L8" s="2">
        <f>'2020 WORKING COPY '!L10</f>
        <v>221.25</v>
      </c>
      <c r="M8" s="2">
        <f>'2020 WORKING COPY '!M10</f>
        <v>243.9</v>
      </c>
      <c r="N8" s="2">
        <f>'2020 WORKING COPY '!N10</f>
        <v>2602.71</v>
      </c>
    </row>
    <row r="10" spans="1:14" x14ac:dyDescent="0.2">
      <c r="A10" t="str">
        <f>'2020 WORKING COPY '!A12</f>
        <v>PRICE PER TON</v>
      </c>
    </row>
    <row r="11" spans="1:14" x14ac:dyDescent="0.2">
      <c r="A11" t="str">
        <f>'2020 WORKING COPY '!A13</f>
        <v>Bottles &amp; Cans</v>
      </c>
      <c r="B11" s="47">
        <f>'2020 WORKING COPY '!B13</f>
        <v>-54.2</v>
      </c>
      <c r="C11" s="47">
        <f>'2020 WORKING COPY '!C13</f>
        <v>-54.2</v>
      </c>
      <c r="D11" s="47">
        <f>'2020 WORKING COPY '!D13</f>
        <v>-54.2</v>
      </c>
      <c r="E11" s="47">
        <f>'2020 WORKING COPY '!E13</f>
        <v>-54.2</v>
      </c>
      <c r="F11" s="47">
        <f>'2020 WORKING COPY '!F13</f>
        <v>-54.2</v>
      </c>
      <c r="G11" s="47">
        <f>'2020 WORKING COPY '!G13</f>
        <v>-54.2</v>
      </c>
      <c r="H11" s="47">
        <f>'2020 WORKING COPY '!H13</f>
        <v>-54.2</v>
      </c>
      <c r="I11" s="47">
        <f>'2020 WORKING COPY '!I13</f>
        <v>-54.2</v>
      </c>
      <c r="J11" s="47">
        <f>'2020 WORKING COPY '!J13</f>
        <v>-54.2</v>
      </c>
      <c r="K11" s="47">
        <f>'2020 WORKING COPY '!K13</f>
        <v>-54.2</v>
      </c>
      <c r="L11" s="47">
        <f>'2020 WORKING COPY '!L13</f>
        <v>-54.2</v>
      </c>
      <c r="M11" s="47">
        <f>'2020 WORKING COPY '!M13</f>
        <v>-30</v>
      </c>
      <c r="N11" s="47">
        <f>'2020 WORKING COPY '!N13</f>
        <v>-40.65</v>
      </c>
    </row>
    <row r="12" spans="1:14" x14ac:dyDescent="0.2">
      <c r="A12" t="str">
        <f>'2020 WORKING COPY '!A15</f>
        <v>CG-Mix Rec.</v>
      </c>
      <c r="B12" s="47">
        <f>'2020 WORKING COPY '!B15</f>
        <v>-225</v>
      </c>
      <c r="C12" s="47">
        <f>'2020 WORKING COPY '!C15</f>
        <v>-225</v>
      </c>
      <c r="D12" s="47">
        <f>'2020 WORKING COPY '!D15</f>
        <v>-225</v>
      </c>
      <c r="E12" s="47">
        <f>'2020 WORKING COPY '!E15</f>
        <v>-225</v>
      </c>
      <c r="F12" s="47">
        <f>'2020 WORKING COPY '!F15</f>
        <v>-225</v>
      </c>
      <c r="G12" s="47">
        <f>'2020 WORKING COPY '!G15</f>
        <v>-225</v>
      </c>
      <c r="H12" s="47">
        <f>'2020 WORKING COPY '!H15</f>
        <v>-225</v>
      </c>
      <c r="I12" s="47">
        <f>'2020 WORKING COPY '!I15</f>
        <v>-225</v>
      </c>
      <c r="J12" s="47">
        <f>'2020 WORKING COPY '!J15</f>
        <v>-225</v>
      </c>
      <c r="K12" s="47">
        <f>'2020 WORKING COPY '!K15</f>
        <v>-225</v>
      </c>
      <c r="L12" s="47">
        <f>'2020 WORKING COPY '!L15</f>
        <v>-225</v>
      </c>
      <c r="M12" s="47">
        <f>'2020 WORKING COPY '!M15</f>
        <v>-225</v>
      </c>
      <c r="N12" s="47">
        <f>'2020 WORKING COPY '!N15</f>
        <v>-225</v>
      </c>
    </row>
    <row r="13" spans="1:14" x14ac:dyDescent="0.2">
      <c r="A13" t="str">
        <f>'2020 WORKING COPY '!A16</f>
        <v>Mixed Paper</v>
      </c>
      <c r="B13" s="47">
        <f>'2020 WORKING COPY '!B16</f>
        <v>0</v>
      </c>
      <c r="C13" s="47">
        <f>'2020 WORKING COPY '!C16</f>
        <v>2.5</v>
      </c>
      <c r="D13" s="47">
        <f>'2020 WORKING COPY '!D16</f>
        <v>-2.5</v>
      </c>
      <c r="E13" s="47">
        <f>'2020 WORKING COPY '!E16</f>
        <v>-2.5</v>
      </c>
      <c r="F13" s="47">
        <f>'2020 WORKING COPY '!F16</f>
        <v>15</v>
      </c>
      <c r="G13" s="47">
        <f>'2020 WORKING COPY '!G16</f>
        <v>12.5</v>
      </c>
      <c r="H13" s="47">
        <f>'2020 WORKING COPY '!H16</f>
        <v>25</v>
      </c>
      <c r="I13" s="47">
        <f>'2020 WORKING COPY '!I16</f>
        <v>27.5</v>
      </c>
      <c r="J13" s="47">
        <f>'2020 WORKING COPY '!J16</f>
        <v>32.5</v>
      </c>
      <c r="K13" s="47">
        <f>'2020 WORKING COPY '!K16</f>
        <v>27.5</v>
      </c>
      <c r="L13" s="47">
        <f>'2020 WORKING COPY '!L16</f>
        <v>22.5</v>
      </c>
      <c r="M13" s="47">
        <f>'2020 WORKING COPY '!M16</f>
        <v>32.5</v>
      </c>
      <c r="N13" s="62">
        <f>'2020 WORKING COPY '!N16</f>
        <v>16.041666666666668</v>
      </c>
    </row>
    <row r="16" spans="1:14" x14ac:dyDescent="0.2">
      <c r="A16" t="str">
        <f>'2020 WORKING COPY '!A19</f>
        <v>COMMODITY VALUE</v>
      </c>
    </row>
    <row r="17" spans="1:14" x14ac:dyDescent="0.2">
      <c r="A17" t="str">
        <f>'2020 WORKING COPY '!A20</f>
        <v>Bottles &amp; Cans</v>
      </c>
      <c r="B17" s="47">
        <f>'2020 WORKING COPY '!B20</f>
        <v>-12328.673459999998</v>
      </c>
      <c r="C17" s="47">
        <f>'2020 WORKING COPY '!C20</f>
        <v>-12775.910180000001</v>
      </c>
      <c r="D17" s="47">
        <f>'2020 WORKING COPY '!D20</f>
        <v>-13218.126896</v>
      </c>
      <c r="E17" s="47">
        <f>'2020 WORKING COPY '!E20</f>
        <v>-10745.09038</v>
      </c>
      <c r="F17" s="47">
        <f>'2020 WORKING COPY '!F20</f>
        <v>-1088.8845040000001</v>
      </c>
      <c r="G17" s="47">
        <f>'2020 WORKING COPY '!G20</f>
        <v>-1232.6391639999999</v>
      </c>
      <c r="H17" s="47">
        <f>'2020 WORKING COPY '!H20</f>
        <v>-11952.629524000002</v>
      </c>
      <c r="I17" s="47">
        <f>'2020 WORKING COPY '!I20</f>
        <v>-11648.234736</v>
      </c>
      <c r="J17" s="47">
        <f>'2020 WORKING COPY '!J20</f>
        <v>-14100.278508000001</v>
      </c>
      <c r="K17" s="47">
        <f>'2020 WORKING COPY '!K20</f>
        <v>-14100.278508000001</v>
      </c>
      <c r="L17" s="47">
        <f>'2020 WORKING COPY '!L20</f>
        <v>-12539.969991999998</v>
      </c>
      <c r="M17" s="47">
        <f>'2020 WORKING COPY '!M20</f>
        <v>-6865.4153999999999</v>
      </c>
      <c r="N17" s="47">
        <f>'2020 WORKING COPY '!N20</f>
        <v>-89090.467352000007</v>
      </c>
    </row>
    <row r="18" spans="1:14" x14ac:dyDescent="0.2">
      <c r="A18" t="str">
        <f>'2020 WORKING COPY '!A22</f>
        <v>CG-Mix Rec.</v>
      </c>
      <c r="B18" s="47">
        <f>'2020 WORKING COPY '!B22</f>
        <v>-4950</v>
      </c>
      <c r="C18" s="47">
        <f>'2020 WORKING COPY '!C22</f>
        <v>-4950</v>
      </c>
      <c r="D18" s="47">
        <f>'2020 WORKING COPY '!D22</f>
        <v>-4950</v>
      </c>
      <c r="E18" s="47">
        <f>'2020 WORKING COPY '!E22</f>
        <v>-4275</v>
      </c>
      <c r="F18" s="47">
        <f>'2020 WORKING COPY '!F22</f>
        <v>-4950</v>
      </c>
      <c r="G18" s="47">
        <f>'2020 WORKING COPY '!G22</f>
        <v>-4725</v>
      </c>
      <c r="H18" s="47">
        <f>'2020 WORKING COPY '!H22</f>
        <v>-4950</v>
      </c>
      <c r="I18" s="47">
        <f>'2020 WORKING COPY '!I22</f>
        <v>-4275</v>
      </c>
      <c r="J18" s="47">
        <f>'2020 WORKING COPY '!J22</f>
        <v>-5175</v>
      </c>
      <c r="K18" s="47">
        <f>'2020 WORKING COPY '!K22</f>
        <v>-4950</v>
      </c>
      <c r="L18" s="47">
        <f>'2020 WORKING COPY '!L22</f>
        <v>-4275</v>
      </c>
      <c r="M18" s="47">
        <f>'2020 WORKING COPY '!M22</f>
        <v>-4950</v>
      </c>
      <c r="N18" s="47">
        <f>'2020 WORKING COPY '!N22</f>
        <v>-57375</v>
      </c>
    </row>
    <row r="19" spans="1:14" x14ac:dyDescent="0.2">
      <c r="A19" t="str">
        <f>'2020 WORKING COPY '!A23</f>
        <v>Mixed Paper</v>
      </c>
      <c r="B19" s="47">
        <f>'2020 WORKING COPY '!B23</f>
        <v>0</v>
      </c>
      <c r="C19" s="47">
        <f>'2020 WORKING COPY '!C23</f>
        <v>627.27499999999998</v>
      </c>
      <c r="D19" s="47">
        <f>'2020 WORKING COPY '!D23</f>
        <v>-460.90000000000003</v>
      </c>
      <c r="E19" s="47">
        <f>'2020 WORKING COPY '!E23</f>
        <v>-483.47500000000002</v>
      </c>
      <c r="F19" s="47">
        <f>'2020 WORKING COPY '!F23</f>
        <v>3270.3</v>
      </c>
      <c r="G19" s="47">
        <f>'2020 WORKING COPY '!G23</f>
        <v>2693.125</v>
      </c>
      <c r="H19" s="47">
        <f>'2020 WORKING COPY '!H23</f>
        <v>5108.75</v>
      </c>
      <c r="I19" s="47">
        <f>'2020 WORKING COPY '!I23</f>
        <v>4647.7749999999996</v>
      </c>
      <c r="J19" s="47">
        <f>'2020 WORKING COPY '!J23</f>
        <v>6582.2249999999995</v>
      </c>
      <c r="K19" s="47">
        <f>'2020 WORKING COPY '!K23</f>
        <v>8601.1749999999993</v>
      </c>
      <c r="L19" s="47">
        <f>'2020 WORKING COPY '!L23</f>
        <v>4978.125</v>
      </c>
      <c r="M19" s="47">
        <f>'2020 WORKING COPY '!M23</f>
        <v>7926.75</v>
      </c>
      <c r="N19" s="47">
        <f>'2020 WORKING COPY '!N23</f>
        <v>43491.125</v>
      </c>
    </row>
    <row r="20" spans="1:14" x14ac:dyDescent="0.2">
      <c r="A20" t="str">
        <f>'2020 WORKING COPY '!A25</f>
        <v>TOTAL VALUE</v>
      </c>
      <c r="B20" s="53">
        <f>'2020 WORKING COPY '!B25</f>
        <v>-29218.879560000001</v>
      </c>
      <c r="C20" s="53">
        <f>'2020 WORKING COPY '!C25</f>
        <v>-44751.42628</v>
      </c>
      <c r="D20" s="53">
        <f>'2020 WORKING COPY '!D25</f>
        <v>-20124.186496000002</v>
      </c>
      <c r="E20" s="53">
        <f>'2020 WORKING COPY '!E25</f>
        <v>-15874.874180000001</v>
      </c>
      <c r="F20" s="53">
        <f>'2020 WORKING COPY '!F25</f>
        <v>-8632.8843039999992</v>
      </c>
      <c r="G20" s="53">
        <f>'2020 WORKING COPY '!G25</f>
        <v>-28461.423164</v>
      </c>
      <c r="H20" s="53">
        <f>'2020 WORKING COPY '!H25</f>
        <v>-34125.247524000006</v>
      </c>
      <c r="I20" s="53">
        <f>'2020 WORKING COPY '!I25</f>
        <v>-34154.343435999996</v>
      </c>
      <c r="J20" s="53">
        <f>'2020 WORKING COPY '!J25</f>
        <v>-33389.594208000002</v>
      </c>
      <c r="K20" s="53">
        <f>'2020 WORKING COPY '!K25</f>
        <v>-28633.551308000002</v>
      </c>
      <c r="L20" s="53">
        <f>'2020 WORKING COPY '!L25</f>
        <v>-34322.482491999996</v>
      </c>
      <c r="M20" s="53">
        <f>'2020 WORKING COPY '!M25</f>
        <v>-22873.841399999998</v>
      </c>
      <c r="N20" s="58">
        <f>SUM(B20:M20)</f>
        <v>-334562.73435199994</v>
      </c>
    </row>
    <row r="23" spans="1:14" x14ac:dyDescent="0.2">
      <c r="A23" t="str">
        <f>'2020 WORKING COPY '!A28</f>
        <v>RUBATINO REFUSE REMOVAL, INC.</v>
      </c>
      <c r="I23" t="str">
        <f>'2020 WORKING COPY '!I28</f>
        <v>RUBATINO REFUSE REMOVAL, INC.</v>
      </c>
    </row>
    <row r="24" spans="1:14" x14ac:dyDescent="0.2">
      <c r="A24" t="str">
        <f>'2020 WORKING COPY '!A29</f>
        <v>Commodity over/under refunded for the 12 months ended 3-31-21</v>
      </c>
    </row>
    <row r="25" spans="1:14" x14ac:dyDescent="0.2">
      <c r="I25" t="str">
        <f>'2020 WORKING COPY '!I30</f>
        <v>MONTH</v>
      </c>
      <c r="J25" t="str">
        <f>'2020 WORKING COPY '!J30</f>
        <v># of Cust</v>
      </c>
      <c r="K25" t="str">
        <f>'2020 WORKING COPY '!K30</f>
        <v>Cost</v>
      </c>
    </row>
    <row r="27" spans="1:14" x14ac:dyDescent="0.2">
      <c r="A27" t="str">
        <f>'2020 WORKING COPY '!A32</f>
        <v>Apr 2020 Customers</v>
      </c>
      <c r="D27" s="55">
        <f>'2020 WORKING COPY '!D32</f>
        <v>17595</v>
      </c>
      <c r="E27" s="48"/>
      <c r="F27" s="48"/>
      <c r="G27" s="4"/>
      <c r="I27" s="43">
        <v>43573</v>
      </c>
      <c r="J27" s="47">
        <f>'2020 WORKING COPY '!J32</f>
        <v>17595</v>
      </c>
      <c r="K27" s="48">
        <f>'2020 WORKING COPY '!K32</f>
        <v>-29218.879560000001</v>
      </c>
    </row>
    <row r="28" spans="1:14" x14ac:dyDescent="0.2">
      <c r="A28" t="str">
        <f>'2020 WORKING COPY '!A33</f>
        <v>May 2020 Customers</v>
      </c>
      <c r="D28" s="55">
        <f>'2020 WORKING COPY '!D33</f>
        <v>17634</v>
      </c>
      <c r="E28" s="48"/>
      <c r="F28" s="48"/>
      <c r="G28" s="4"/>
      <c r="I28" s="43">
        <v>43221</v>
      </c>
      <c r="J28" s="47">
        <f>'2020 WORKING COPY '!J33</f>
        <v>17634</v>
      </c>
      <c r="K28" s="48">
        <f>'2020 WORKING COPY '!K33</f>
        <v>-44751.42628</v>
      </c>
    </row>
    <row r="29" spans="1:14" x14ac:dyDescent="0.2">
      <c r="A29" t="str">
        <f>'2020 WORKING COPY '!A34</f>
        <v>Jun 2020 Customers</v>
      </c>
      <c r="D29" s="56">
        <f>'2020 WORKING COPY '!D34</f>
        <v>17725</v>
      </c>
      <c r="E29" s="48"/>
      <c r="F29" s="48"/>
      <c r="G29" s="4"/>
      <c r="I29" s="43">
        <v>43252</v>
      </c>
      <c r="J29" s="47">
        <f>'2020 WORKING COPY '!J34</f>
        <v>17725</v>
      </c>
      <c r="K29" s="48">
        <f>'2020 WORKING COPY '!K34</f>
        <v>-20124.186496000002</v>
      </c>
    </row>
    <row r="30" spans="1:14" x14ac:dyDescent="0.2">
      <c r="B30" t="str">
        <f>'2020 WORKING COPY '!B35</f>
        <v>subtotal</v>
      </c>
      <c r="D30" s="55">
        <f>'2020 WORKING COPY '!D35</f>
        <v>52954</v>
      </c>
      <c r="E30" s="48"/>
      <c r="F30" s="48"/>
      <c r="G30" s="4"/>
      <c r="I30" s="43">
        <f>'2020 WORKING COPY '!I35</f>
        <v>44013</v>
      </c>
      <c r="J30" s="47">
        <f>'2020 WORKING COPY '!J35</f>
        <v>17814</v>
      </c>
      <c r="K30" s="48">
        <f>'2020 WORKING COPY '!K35</f>
        <v>-15874.874180000001</v>
      </c>
    </row>
    <row r="31" spans="1:14" x14ac:dyDescent="0.2">
      <c r="D31" s="48"/>
      <c r="E31" s="48"/>
      <c r="F31" s="48"/>
      <c r="G31" s="4"/>
      <c r="I31" s="43">
        <f>'2020 WORKING COPY '!I36</f>
        <v>44044</v>
      </c>
      <c r="J31" s="47">
        <f>'2020 WORKING COPY '!J36</f>
        <v>17872</v>
      </c>
      <c r="K31" s="48">
        <f>'2020 WORKING COPY '!K36</f>
        <v>-8632.8843039999992</v>
      </c>
    </row>
    <row r="32" spans="1:14" x14ac:dyDescent="0.2">
      <c r="A32" t="str">
        <f>'2020 WORKING COPY '!A37</f>
        <v>Per customer commodity credit</v>
      </c>
      <c r="D32" s="48">
        <f>'2020 WORKING COPY '!D37</f>
        <v>3.43</v>
      </c>
      <c r="E32" s="48"/>
      <c r="F32" s="48">
        <f>'2020 WORKING COPY '!F37</f>
        <v>181632.22</v>
      </c>
      <c r="G32" s="4"/>
      <c r="I32" s="43">
        <f>'2020 WORKING COPY '!I37</f>
        <v>44075</v>
      </c>
      <c r="J32" s="47">
        <f>'2020 WORKING COPY '!J37</f>
        <v>17857</v>
      </c>
      <c r="K32" s="48">
        <f>'2020 WORKING COPY '!K37</f>
        <v>-28461.423164</v>
      </c>
    </row>
    <row r="33" spans="1:12" x14ac:dyDescent="0.2">
      <c r="D33" s="48"/>
      <c r="E33" s="48"/>
      <c r="F33" s="48"/>
      <c r="G33" s="4"/>
      <c r="I33" s="43">
        <f>'2020 WORKING COPY '!I38</f>
        <v>44105</v>
      </c>
      <c r="J33" s="47">
        <f>'2020 WORKING COPY '!J38</f>
        <v>17801</v>
      </c>
      <c r="K33" s="48">
        <f>'2020 WORKING COPY '!K38</f>
        <v>-34125.247524000006</v>
      </c>
    </row>
    <row r="34" spans="1:12" x14ac:dyDescent="0.2">
      <c r="D34" s="48"/>
      <c r="E34" s="48"/>
      <c r="F34" s="48"/>
      <c r="G34" s="4"/>
      <c r="I34" s="43">
        <f>'2020 WORKING COPY '!I39</f>
        <v>44136</v>
      </c>
      <c r="J34" s="47">
        <f>'2020 WORKING COPY '!J39</f>
        <v>17901</v>
      </c>
      <c r="K34" s="48">
        <f>'2020 WORKING COPY '!K39</f>
        <v>-34154.343435999996</v>
      </c>
    </row>
    <row r="35" spans="1:12" x14ac:dyDescent="0.2">
      <c r="A35" t="str">
        <f>'2020 WORKING COPY '!A40</f>
        <v>Customers Jul 2020 - Mar 2021</v>
      </c>
      <c r="D35" s="55">
        <f>'2020 WORKING COPY '!D40</f>
        <v>142848</v>
      </c>
      <c r="E35" s="48"/>
      <c r="F35" s="48"/>
      <c r="G35" s="4"/>
      <c r="I35" s="43">
        <f>'2020 WORKING COPY '!I40</f>
        <v>44166</v>
      </c>
      <c r="J35" s="47">
        <f>'2020 WORKING COPY '!J40</f>
        <v>17897</v>
      </c>
      <c r="K35" s="48">
        <f>'2020 WORKING COPY '!K40</f>
        <v>-33389.594208000002</v>
      </c>
    </row>
    <row r="36" spans="1:12" x14ac:dyDescent="0.2">
      <c r="A36" t="str">
        <f>'2020 WORKING COPY '!A41</f>
        <v>Per customer commodity credit</v>
      </c>
      <c r="D36" s="48">
        <f>'2020 WORKING COPY '!D41</f>
        <v>0.34</v>
      </c>
      <c r="E36" s="48"/>
      <c r="F36" s="48">
        <f>'2020 WORKING COPY '!F41</f>
        <v>48568.320000000007</v>
      </c>
      <c r="G36" s="4"/>
      <c r="I36" s="43">
        <f>'2020 WORKING COPY '!I32</f>
        <v>43922</v>
      </c>
      <c r="J36" s="47">
        <f>'2020 WORKING COPY '!J32</f>
        <v>17595</v>
      </c>
      <c r="K36" s="48">
        <f>'2020 WORKING COPY '!K32</f>
        <v>-29218.879560000001</v>
      </c>
    </row>
    <row r="37" spans="1:12" x14ac:dyDescent="0.2">
      <c r="D37" s="4"/>
      <c r="E37" s="4"/>
      <c r="F37" s="57"/>
      <c r="G37" s="4"/>
      <c r="I37" s="43">
        <f>'2020 WORKING COPY '!I33</f>
        <v>43952</v>
      </c>
      <c r="J37" s="47">
        <f>'2020 WORKING COPY '!J33</f>
        <v>17634</v>
      </c>
      <c r="K37" s="48">
        <f>'2020 WORKING COPY '!K33</f>
        <v>-44751.42628</v>
      </c>
    </row>
    <row r="38" spans="1:12" x14ac:dyDescent="0.2">
      <c r="A38" t="str">
        <f>'2020 WORKING COPY '!A43</f>
        <v>Total customer credits Apr 2019 - Mar 2020</v>
      </c>
      <c r="D38" s="4"/>
      <c r="E38" s="4"/>
      <c r="F38" s="48">
        <f>'2020 WORKING COPY '!F43</f>
        <v>230200.54</v>
      </c>
      <c r="G38" s="4"/>
      <c r="I38" s="43">
        <f>'2020 WORKING COPY '!I34</f>
        <v>43983</v>
      </c>
      <c r="J38" s="47">
        <f>'2020 WORKING COPY '!J34</f>
        <v>17725</v>
      </c>
      <c r="K38" s="48">
        <f>'2020 WORKING COPY '!K34</f>
        <v>-20124.186496000002</v>
      </c>
    </row>
    <row r="39" spans="1:12" x14ac:dyDescent="0.2">
      <c r="A39" t="str">
        <f>'2020 WORKING COPY '!A44</f>
        <v>Actual cost Apr 2019 - Mar 2020</v>
      </c>
      <c r="D39" s="4"/>
      <c r="E39" s="4"/>
      <c r="F39" s="48">
        <f>'2020 WORKING COPY '!F44</f>
        <v>-334562.73435199994</v>
      </c>
      <c r="G39" s="4"/>
      <c r="I39" t="str">
        <f>'2020 WORKING COPY '!I44</f>
        <v>TOTAL</v>
      </c>
      <c r="J39" s="49">
        <f>'2020 WORKING COPY '!J44</f>
        <v>195802</v>
      </c>
      <c r="K39" s="50">
        <f>'2020 WORKING COPY '!K44</f>
        <v>-334562.73435199994</v>
      </c>
      <c r="L39" s="53">
        <f>'2020 WORKING COPY '!L44</f>
        <v>-1.7086788406247124</v>
      </c>
    </row>
    <row r="40" spans="1:12" x14ac:dyDescent="0.2">
      <c r="D40" s="4"/>
      <c r="E40" s="4"/>
      <c r="F40" s="48"/>
      <c r="G40" s="4"/>
      <c r="I40" s="44" t="str">
        <f>'2020 WORKING COPY '!I45</f>
        <v>12 month avg</v>
      </c>
      <c r="J40" s="51">
        <f>'2020 WORKING COPY '!J45</f>
        <v>16316.833333333334</v>
      </c>
      <c r="K40" s="52">
        <f>'2020 WORKING COPY '!K45</f>
        <v>-27880.227862666663</v>
      </c>
      <c r="L40" s="54">
        <f>'2020 WORKING COPY '!L45</f>
        <v>-1.7086788406247124</v>
      </c>
    </row>
    <row r="41" spans="1:12" x14ac:dyDescent="0.2">
      <c r="A41" t="str">
        <f>'2020 WORKING COPY '!A46</f>
        <v>Total Over refunded customers</v>
      </c>
      <c r="D41" s="4"/>
      <c r="E41" s="4"/>
      <c r="F41" s="48">
        <f>'2020 WORKING COPY '!F46</f>
        <v>-104362.19435199993</v>
      </c>
      <c r="G41" s="4"/>
    </row>
    <row r="42" spans="1:12" x14ac:dyDescent="0.2">
      <c r="D42" s="4"/>
      <c r="E42" s="4"/>
      <c r="F42" s="48"/>
      <c r="G42" s="4"/>
    </row>
    <row r="43" spans="1:12" x14ac:dyDescent="0.2">
      <c r="A43" t="str">
        <f>'2020 WORKING COPY '!A48</f>
        <v>COMMODITY ADJUSTING FACTOR PER CUSTOMER</v>
      </c>
      <c r="D43" s="4"/>
      <c r="E43" s="4"/>
      <c r="F43" s="48"/>
      <c r="G43" s="4"/>
    </row>
    <row r="44" spans="1:12" x14ac:dyDescent="0.2">
      <c r="D44" s="4"/>
      <c r="E44" s="4"/>
      <c r="F44" s="48"/>
      <c r="G44" s="4"/>
    </row>
    <row r="45" spans="1:12" x14ac:dyDescent="0.2">
      <c r="A45" t="str">
        <f>'2020 WORKING COPY '!A50</f>
        <v>Debit due to customers</v>
      </c>
      <c r="D45" s="4"/>
      <c r="E45" s="4"/>
      <c r="F45" s="48">
        <f>'2020 WORKING COPY '!F50</f>
        <v>-104362.19435199993</v>
      </c>
      <c r="G45" s="4"/>
    </row>
    <row r="46" spans="1:12" x14ac:dyDescent="0.2">
      <c r="A46" t="str">
        <f>'2020 WORKING COPY '!A51</f>
        <v>Most recent 12 month average number of customers</v>
      </c>
      <c r="D46" s="4"/>
      <c r="E46" s="4"/>
      <c r="F46" s="48">
        <f>'2020 WORKING COPY '!F51</f>
        <v>16316.833333333334</v>
      </c>
      <c r="G46" s="4"/>
    </row>
    <row r="47" spans="1:12" x14ac:dyDescent="0.2">
      <c r="A47" t="str">
        <f>'2020 WORKING COPY '!A52</f>
        <v>Debit due per customer</v>
      </c>
      <c r="D47" s="4"/>
      <c r="E47" s="4"/>
      <c r="F47" s="48">
        <f>'2020 WORKING COPY '!F52</f>
        <v>-6.3959833516715818</v>
      </c>
      <c r="G47" s="4"/>
    </row>
    <row r="48" spans="1:12" x14ac:dyDescent="0.2">
      <c r="A48" t="str">
        <f>'2020 WORKING COPY '!A53</f>
        <v>Divide by 12 monthly factor adj per cust per month</v>
      </c>
      <c r="D48" s="4"/>
      <c r="E48" s="4"/>
      <c r="F48" s="48">
        <f>'2020 WORKING COPY '!F53</f>
        <v>-0.53299861263929849</v>
      </c>
      <c r="G48" s="4"/>
    </row>
    <row r="49" spans="1:7" x14ac:dyDescent="0.2">
      <c r="D49" s="4"/>
      <c r="E49" s="4"/>
      <c r="F49" s="48"/>
      <c r="G49" s="4"/>
    </row>
    <row r="50" spans="1:7" x14ac:dyDescent="0.2">
      <c r="A50" t="str">
        <f>'2020 WORKING COPY '!A55</f>
        <v>Commodity adjustment next 12 months</v>
      </c>
      <c r="D50" s="4"/>
      <c r="E50" s="4"/>
      <c r="F50" s="48"/>
      <c r="G50" s="4"/>
    </row>
    <row r="51" spans="1:7" x14ac:dyDescent="0.2">
      <c r="A51" t="str">
        <f>'2020 WORKING COPY '!A56</f>
        <v>12 month commodity cost</v>
      </c>
      <c r="D51" s="4"/>
      <c r="E51" s="4"/>
      <c r="F51" s="48"/>
      <c r="G51" s="48">
        <f>'2020 WORKING COPY '!G56</f>
        <v>-334562.73435199994</v>
      </c>
    </row>
    <row r="52" spans="1:7" x14ac:dyDescent="0.2">
      <c r="A52" t="str">
        <f>'2020 WORKING COPY '!A57</f>
        <v>12 month # of customers</v>
      </c>
      <c r="D52" s="4"/>
      <c r="E52" s="4"/>
      <c r="F52" s="48"/>
      <c r="G52" s="48">
        <f>'2020 WORKING COPY '!G57</f>
        <v>195802</v>
      </c>
    </row>
    <row r="53" spans="1:7" x14ac:dyDescent="0.2">
      <c r="D53" s="4"/>
      <c r="E53" s="4"/>
      <c r="F53" s="48"/>
      <c r="G53" s="48">
        <f>'2020 WORKING COPY '!G58</f>
        <v>0</v>
      </c>
    </row>
    <row r="54" spans="1:7" x14ac:dyDescent="0.2">
      <c r="A54" t="str">
        <f>'2020 WORKING COPY '!A59</f>
        <v>Commodity adjustment Apr 19 - Mar 20</v>
      </c>
      <c r="D54" s="4"/>
      <c r="E54" s="4"/>
      <c r="F54" s="48"/>
      <c r="G54" s="57">
        <f>'2020 WORKING COPY '!G59</f>
        <v>-1.71</v>
      </c>
    </row>
    <row r="55" spans="1:7" x14ac:dyDescent="0.2">
      <c r="A55" t="str">
        <f>'2020 WORKING COPY '!A60</f>
        <v>Adjusting factor prior year</v>
      </c>
      <c r="D55" s="4"/>
      <c r="E55" s="4"/>
      <c r="F55" s="48"/>
      <c r="G55" s="48">
        <f>'2020 WORKING COPY '!G60</f>
        <v>-0.53299861263929849</v>
      </c>
    </row>
    <row r="56" spans="1:7" x14ac:dyDescent="0.2">
      <c r="A56" t="str">
        <f>'2020 WORKING COPY '!A61</f>
        <v>Commodity debit on tariff page</v>
      </c>
      <c r="D56" s="4"/>
      <c r="E56" s="4"/>
      <c r="F56" s="48"/>
      <c r="G56" s="48">
        <f>'2020 WORKING COPY '!G61</f>
        <v>-2.2400000000000002</v>
      </c>
    </row>
  </sheetData>
  <pageMargins left="0.7" right="0.7" top="0.75" bottom="0.75" header="0.3" footer="0.3"/>
  <pageSetup scale="71"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Q61"/>
  <sheetViews>
    <sheetView workbookViewId="0">
      <selection activeCell="A22" sqref="A22"/>
    </sheetView>
  </sheetViews>
  <sheetFormatPr defaultRowHeight="12.75" x14ac:dyDescent="0.2"/>
  <cols>
    <col min="1" max="1" width="22.5703125" customWidth="1"/>
    <col min="4" max="4" width="10.7109375" bestFit="1" customWidth="1"/>
    <col min="5" max="5" width="9.7109375" customWidth="1"/>
    <col min="6" max="6" width="12.140625" bestFit="1" customWidth="1"/>
    <col min="7" max="7" width="11.42578125" customWidth="1"/>
    <col min="10" max="10" width="10.140625" bestFit="1" customWidth="1"/>
    <col min="11" max="11" width="13.42578125" customWidth="1"/>
    <col min="12" max="12" width="9.28515625" bestFit="1" customWidth="1"/>
    <col min="14" max="14" width="14.42578125" customWidth="1"/>
    <col min="15" max="15" width="10.7109375" bestFit="1" customWidth="1"/>
    <col min="16" max="16" width="10" bestFit="1" customWidth="1"/>
    <col min="17" max="17" width="10.7109375" bestFit="1" customWidth="1"/>
  </cols>
  <sheetData>
    <row r="1" spans="1:15" x14ac:dyDescent="0.2">
      <c r="A1" s="38" t="s">
        <v>0</v>
      </c>
      <c r="B1" s="38"/>
    </row>
    <row r="2" spans="1:15" x14ac:dyDescent="0.2">
      <c r="A2" s="38" t="s">
        <v>1</v>
      </c>
      <c r="B2" s="38"/>
      <c r="L2" s="3"/>
      <c r="M2" s="38" t="s">
        <v>32</v>
      </c>
      <c r="N2" s="46"/>
    </row>
    <row r="3" spans="1:15" x14ac:dyDescent="0.2">
      <c r="A3" s="38" t="s">
        <v>134</v>
      </c>
      <c r="B3" s="38"/>
      <c r="N3" s="45" t="s">
        <v>31</v>
      </c>
    </row>
    <row r="5" spans="1:15" x14ac:dyDescent="0.2">
      <c r="A5" s="38" t="s">
        <v>2</v>
      </c>
      <c r="B5" s="5">
        <v>43922</v>
      </c>
      <c r="C5" s="5">
        <v>43952</v>
      </c>
      <c r="D5" s="5">
        <v>43983</v>
      </c>
      <c r="E5" s="5">
        <v>44013</v>
      </c>
      <c r="F5" s="5">
        <v>44044</v>
      </c>
      <c r="G5" s="5">
        <v>44075</v>
      </c>
      <c r="H5" s="5">
        <v>44105</v>
      </c>
      <c r="I5" s="5">
        <v>44136</v>
      </c>
      <c r="J5" s="5">
        <v>44166</v>
      </c>
      <c r="K5" s="5">
        <v>44197</v>
      </c>
      <c r="L5" s="5">
        <v>44228</v>
      </c>
      <c r="M5" s="5">
        <v>44256</v>
      </c>
      <c r="N5" t="s">
        <v>11</v>
      </c>
    </row>
    <row r="6" spans="1:15" x14ac:dyDescent="0.2">
      <c r="A6" s="6" t="s">
        <v>46</v>
      </c>
      <c r="B6" s="135">
        <f>270.15*0.842</f>
        <v>227.46629999999996</v>
      </c>
      <c r="C6" s="135">
        <f>279.95*0.842</f>
        <v>235.71789999999999</v>
      </c>
      <c r="D6" s="135">
        <f>289.64*0.842</f>
        <v>243.87687999999997</v>
      </c>
      <c r="E6" s="135">
        <f>235.45*0.842</f>
        <v>198.24889999999999</v>
      </c>
      <c r="F6" s="135">
        <f>(23.86*0.842)</f>
        <v>20.090119999999999</v>
      </c>
      <c r="G6" s="135">
        <f>27.01*0.842</f>
        <v>22.742419999999999</v>
      </c>
      <c r="H6" s="135">
        <f>261.91*0.842</f>
        <v>220.52822</v>
      </c>
      <c r="I6" s="135">
        <f>255.24*0.842</f>
        <v>214.91208</v>
      </c>
      <c r="J6" s="135">
        <f>308.97*0.842</f>
        <v>260.15273999999999</v>
      </c>
      <c r="K6" s="135">
        <f>308.97*0.842</f>
        <v>260.15273999999999</v>
      </c>
      <c r="L6" s="135">
        <f>274.78*0.842</f>
        <v>231.36475999999996</v>
      </c>
      <c r="M6" s="135">
        <f>271.79*0.842</f>
        <v>228.84718000000001</v>
      </c>
      <c r="N6" s="129">
        <f>+SUM(B6:M6)</f>
        <v>2364.1002400000002</v>
      </c>
    </row>
    <row r="7" spans="1:15" x14ac:dyDescent="0.2">
      <c r="A7" s="6" t="s">
        <v>46</v>
      </c>
      <c r="B7" s="135"/>
      <c r="C7" s="135"/>
      <c r="D7" s="135"/>
      <c r="E7" s="135"/>
      <c r="F7" s="135">
        <v>91.83</v>
      </c>
      <c r="G7" s="135">
        <v>331.23</v>
      </c>
      <c r="H7" s="135"/>
      <c r="I7" s="135"/>
      <c r="J7" s="135"/>
      <c r="K7" s="135"/>
      <c r="L7" s="135"/>
      <c r="M7" s="135"/>
      <c r="N7" s="129">
        <f>+SUM(B7:M7)</f>
        <v>423.06</v>
      </c>
    </row>
    <row r="8" spans="1:15" x14ac:dyDescent="0.2">
      <c r="A8" t="s">
        <v>47</v>
      </c>
      <c r="B8" s="129">
        <v>22</v>
      </c>
      <c r="C8" s="129">
        <v>22</v>
      </c>
      <c r="D8" s="129">
        <v>22</v>
      </c>
      <c r="E8" s="129">
        <v>19</v>
      </c>
      <c r="F8" s="129">
        <v>22</v>
      </c>
      <c r="G8" s="129">
        <v>21</v>
      </c>
      <c r="H8" s="129">
        <v>22</v>
      </c>
      <c r="I8" s="129">
        <v>19</v>
      </c>
      <c r="J8" s="129">
        <v>23</v>
      </c>
      <c r="K8" s="129">
        <v>22</v>
      </c>
      <c r="L8" s="129">
        <v>19</v>
      </c>
      <c r="M8" s="129">
        <v>22</v>
      </c>
      <c r="N8" s="129">
        <f>+SUM(B8:M8)</f>
        <v>255</v>
      </c>
    </row>
    <row r="9" spans="1:15" x14ac:dyDescent="0.2">
      <c r="A9" t="s">
        <v>45</v>
      </c>
      <c r="B9" s="129">
        <f>165.25+21.52</f>
        <v>186.77</v>
      </c>
      <c r="C9" s="129">
        <f>222+28.91</f>
        <v>250.91</v>
      </c>
      <c r="D9" s="129">
        <f>163.12+21.24</f>
        <v>184.36</v>
      </c>
      <c r="E9" s="129">
        <f>171.11+22.28</f>
        <v>193.39000000000001</v>
      </c>
      <c r="F9" s="129">
        <f>192.9+25.12</f>
        <v>218.02</v>
      </c>
      <c r="G9" s="129">
        <f>190.63+24.82</f>
        <v>215.45</v>
      </c>
      <c r="H9" s="129">
        <f>180.81+23.54</f>
        <v>204.35</v>
      </c>
      <c r="I9" s="129">
        <f>149.54+19.47</f>
        <v>169.01</v>
      </c>
      <c r="J9" s="130">
        <f>179.2+23.33</f>
        <v>202.52999999999997</v>
      </c>
      <c r="K9" s="129">
        <v>312.77</v>
      </c>
      <c r="L9" s="129">
        <f>195.76+25.49</f>
        <v>221.25</v>
      </c>
      <c r="M9" s="129">
        <f>215.8+28.1</f>
        <v>243.9</v>
      </c>
      <c r="N9" s="129">
        <f>+SUM(B9:M9)</f>
        <v>2602.71</v>
      </c>
    </row>
    <row r="10" spans="1:15" s="3" customFormat="1" x14ac:dyDescent="0.2">
      <c r="A10" s="12" t="s">
        <v>45</v>
      </c>
      <c r="B10" s="129">
        <f>165.25+21.52</f>
        <v>186.77</v>
      </c>
      <c r="C10" s="129">
        <f>222+28.91</f>
        <v>250.91</v>
      </c>
      <c r="D10" s="129">
        <f>163.12+21.24</f>
        <v>184.36</v>
      </c>
      <c r="E10" s="129">
        <f>171.11+22.28</f>
        <v>193.39000000000001</v>
      </c>
      <c r="F10" s="129">
        <f>192.9+25.12</f>
        <v>218.02</v>
      </c>
      <c r="G10" s="129">
        <f>190.63+24.82</f>
        <v>215.45</v>
      </c>
      <c r="H10" s="129">
        <f>180.81+23.54</f>
        <v>204.35</v>
      </c>
      <c r="I10" s="129">
        <f>149.54+19.47</f>
        <v>169.01</v>
      </c>
      <c r="J10" s="130">
        <f>179.2+23.33</f>
        <v>202.52999999999997</v>
      </c>
      <c r="K10" s="129">
        <v>312.77</v>
      </c>
      <c r="L10" s="129">
        <f>195.76+25.49</f>
        <v>221.25</v>
      </c>
      <c r="M10" s="129">
        <f>215.8+28.1</f>
        <v>243.9</v>
      </c>
      <c r="N10" s="129">
        <f>+SUM(B10:M10)</f>
        <v>2602.71</v>
      </c>
    </row>
    <row r="11" spans="1:15" x14ac:dyDescent="0.2">
      <c r="H11" s="3"/>
      <c r="I11" s="3"/>
      <c r="J11" s="3"/>
      <c r="L11" s="3"/>
    </row>
    <row r="12" spans="1:15" x14ac:dyDescent="0.2">
      <c r="A12" s="38" t="s">
        <v>4</v>
      </c>
      <c r="H12" s="3"/>
      <c r="I12" s="3"/>
      <c r="J12" s="3"/>
      <c r="L12" s="3"/>
      <c r="O12" s="3"/>
    </row>
    <row r="13" spans="1:15" x14ac:dyDescent="0.2">
      <c r="A13" t="s">
        <v>46</v>
      </c>
      <c r="B13" s="136">
        <v>-54.2</v>
      </c>
      <c r="C13" s="136">
        <v>-54.2</v>
      </c>
      <c r="D13" s="136">
        <v>-54.2</v>
      </c>
      <c r="E13" s="136">
        <v>-54.2</v>
      </c>
      <c r="F13" s="136">
        <v>-54.2</v>
      </c>
      <c r="G13" s="136">
        <v>-54.2</v>
      </c>
      <c r="H13" s="136">
        <v>-54.2</v>
      </c>
      <c r="I13" s="136">
        <v>-54.2</v>
      </c>
      <c r="J13" s="136">
        <v>-54.2</v>
      </c>
      <c r="K13" s="136">
        <v>-54.2</v>
      </c>
      <c r="L13" s="136">
        <v>-54.2</v>
      </c>
      <c r="M13" s="136">
        <v>-30</v>
      </c>
      <c r="N13" s="136">
        <f>SUM(B13:J13)/12</f>
        <v>-40.65</v>
      </c>
      <c r="O13" s="3"/>
    </row>
    <row r="14" spans="1:15" x14ac:dyDescent="0.2">
      <c r="A14" t="s">
        <v>46</v>
      </c>
      <c r="B14" s="136"/>
      <c r="C14" s="136"/>
      <c r="D14" s="136"/>
      <c r="E14" s="136"/>
      <c r="F14" s="136">
        <v>-90</v>
      </c>
      <c r="G14" s="136">
        <v>-65</v>
      </c>
      <c r="H14" s="136"/>
      <c r="I14" s="136"/>
      <c r="J14" s="136"/>
      <c r="K14" s="136"/>
      <c r="L14" s="136"/>
      <c r="M14" s="136"/>
      <c r="N14" s="136">
        <f>SUM(B14:J14)/12</f>
        <v>-12.916666666666666</v>
      </c>
      <c r="O14" s="3"/>
    </row>
    <row r="15" spans="1:15" x14ac:dyDescent="0.2">
      <c r="A15" t="s">
        <v>33</v>
      </c>
      <c r="B15" s="136">
        <v>-225</v>
      </c>
      <c r="C15" s="136">
        <v>-225</v>
      </c>
      <c r="D15" s="136">
        <v>-225</v>
      </c>
      <c r="E15" s="136">
        <v>-225</v>
      </c>
      <c r="F15" s="136">
        <v>-225</v>
      </c>
      <c r="G15" s="136">
        <v>-225</v>
      </c>
      <c r="H15" s="136">
        <v>-225</v>
      </c>
      <c r="I15" s="136">
        <v>-225</v>
      </c>
      <c r="J15" s="136">
        <v>-225</v>
      </c>
      <c r="K15" s="136">
        <v>-225</v>
      </c>
      <c r="L15" s="136">
        <v>-225</v>
      </c>
      <c r="M15" s="136">
        <v>-225</v>
      </c>
      <c r="N15" s="136">
        <f>SUM(B15:M15)/12</f>
        <v>-225</v>
      </c>
      <c r="O15" s="3"/>
    </row>
    <row r="16" spans="1:15" s="3" customFormat="1" x14ac:dyDescent="0.2">
      <c r="A16" s="12" t="s">
        <v>45</v>
      </c>
      <c r="B16" s="136">
        <v>0</v>
      </c>
      <c r="C16" s="136">
        <v>2.5</v>
      </c>
      <c r="D16" s="136">
        <v>-2.5</v>
      </c>
      <c r="E16" s="136">
        <v>-2.5</v>
      </c>
      <c r="F16" s="136">
        <v>15</v>
      </c>
      <c r="G16" s="136">
        <v>12.5</v>
      </c>
      <c r="H16" s="136">
        <v>25</v>
      </c>
      <c r="I16" s="136">
        <v>27.5</v>
      </c>
      <c r="J16" s="136">
        <v>32.5</v>
      </c>
      <c r="K16" s="136">
        <v>27.5</v>
      </c>
      <c r="L16" s="136">
        <v>22.5</v>
      </c>
      <c r="M16" s="137">
        <v>32.5</v>
      </c>
      <c r="N16" s="136">
        <f>SUM(B16:M16)/12</f>
        <v>16.041666666666668</v>
      </c>
    </row>
    <row r="17" spans="1:17" x14ac:dyDescent="0.2">
      <c r="A17" s="12" t="s">
        <v>142</v>
      </c>
      <c r="B17" s="136">
        <v>-63.93</v>
      </c>
      <c r="C17" s="136">
        <v>-110.21</v>
      </c>
      <c r="D17" s="136">
        <v>-8.11</v>
      </c>
      <c r="E17" s="136">
        <v>-1.92</v>
      </c>
      <c r="F17" s="136">
        <v>11.01</v>
      </c>
      <c r="G17" s="136">
        <v>-17.02</v>
      </c>
      <c r="H17" s="136">
        <v>-109.28</v>
      </c>
      <c r="I17" s="136">
        <v>-135.37</v>
      </c>
      <c r="J17" s="136">
        <v>-102.19</v>
      </c>
      <c r="K17" s="136">
        <v>-58.14</v>
      </c>
      <c r="L17" s="136">
        <v>-101.63</v>
      </c>
      <c r="M17" s="138">
        <v>-77.84</v>
      </c>
      <c r="N17" s="136">
        <f>SUM(B17:M17)/12</f>
        <v>-64.552499999999995</v>
      </c>
    </row>
    <row r="18" spans="1:17" x14ac:dyDescent="0.2">
      <c r="L18" s="3"/>
      <c r="M18" s="24"/>
    </row>
    <row r="19" spans="1:17" x14ac:dyDescent="0.2">
      <c r="A19" s="38" t="s">
        <v>5</v>
      </c>
      <c r="G19" s="3"/>
      <c r="L19" s="3"/>
      <c r="M19" s="24"/>
    </row>
    <row r="20" spans="1:17" x14ac:dyDescent="0.2">
      <c r="A20" t="s">
        <v>46</v>
      </c>
      <c r="B20" s="129">
        <f>B6*B13</f>
        <v>-12328.673459999998</v>
      </c>
      <c r="C20" s="131">
        <f t="shared" ref="C20:M20" si="0">C6*C13</f>
        <v>-12775.910180000001</v>
      </c>
      <c r="D20" s="131">
        <f t="shared" si="0"/>
        <v>-13218.126896</v>
      </c>
      <c r="E20" s="131">
        <f t="shared" si="0"/>
        <v>-10745.09038</v>
      </c>
      <c r="F20" s="131">
        <f t="shared" si="0"/>
        <v>-1088.8845040000001</v>
      </c>
      <c r="G20" s="131">
        <f t="shared" si="0"/>
        <v>-1232.6391639999999</v>
      </c>
      <c r="H20" s="131">
        <f t="shared" si="0"/>
        <v>-11952.629524000002</v>
      </c>
      <c r="I20" s="131">
        <f t="shared" si="0"/>
        <v>-11648.234736</v>
      </c>
      <c r="J20" s="131">
        <f t="shared" si="0"/>
        <v>-14100.278508000001</v>
      </c>
      <c r="K20" s="131">
        <f t="shared" si="0"/>
        <v>-14100.278508000001</v>
      </c>
      <c r="L20" s="131">
        <f t="shared" si="0"/>
        <v>-12539.969991999998</v>
      </c>
      <c r="M20" s="131">
        <f t="shared" si="0"/>
        <v>-6865.4153999999999</v>
      </c>
      <c r="N20" s="131">
        <f>+SUM(B20:J20)</f>
        <v>-89090.467352000007</v>
      </c>
    </row>
    <row r="21" spans="1:17" x14ac:dyDescent="0.2">
      <c r="A21" t="s">
        <v>46</v>
      </c>
      <c r="B21" s="129"/>
      <c r="C21" s="131"/>
      <c r="D21" s="131"/>
      <c r="E21" s="131"/>
      <c r="F21" s="129">
        <f>SUM(F7*F14)</f>
        <v>-8264.7000000000007</v>
      </c>
      <c r="G21" s="129">
        <f>SUM(G7*G14)</f>
        <v>-21529.95</v>
      </c>
      <c r="H21" s="131"/>
      <c r="I21" s="131"/>
      <c r="J21" s="131"/>
      <c r="K21" s="131"/>
      <c r="L21" s="131"/>
      <c r="M21" s="131"/>
      <c r="N21" s="131"/>
    </row>
    <row r="22" spans="1:17" x14ac:dyDescent="0.2">
      <c r="A22" t="s">
        <v>33</v>
      </c>
      <c r="B22" s="129">
        <f t="shared" ref="B22:M22" si="1">SUM(B8*B15)</f>
        <v>-4950</v>
      </c>
      <c r="C22" s="129">
        <f t="shared" si="1"/>
        <v>-4950</v>
      </c>
      <c r="D22" s="129">
        <f t="shared" si="1"/>
        <v>-4950</v>
      </c>
      <c r="E22" s="129">
        <f t="shared" si="1"/>
        <v>-4275</v>
      </c>
      <c r="F22" s="129">
        <f t="shared" si="1"/>
        <v>-4950</v>
      </c>
      <c r="G22" s="129">
        <f t="shared" si="1"/>
        <v>-4725</v>
      </c>
      <c r="H22" s="129">
        <f t="shared" si="1"/>
        <v>-4950</v>
      </c>
      <c r="I22" s="129">
        <f t="shared" si="1"/>
        <v>-4275</v>
      </c>
      <c r="J22" s="129">
        <f t="shared" si="1"/>
        <v>-5175</v>
      </c>
      <c r="K22" s="129">
        <f t="shared" si="1"/>
        <v>-4950</v>
      </c>
      <c r="L22" s="129">
        <f t="shared" si="1"/>
        <v>-4275</v>
      </c>
      <c r="M22" s="129">
        <f t="shared" si="1"/>
        <v>-4950</v>
      </c>
      <c r="N22" s="131">
        <f>+SUM(B22:M22)</f>
        <v>-57375</v>
      </c>
    </row>
    <row r="23" spans="1:17" x14ac:dyDescent="0.2">
      <c r="A23" t="s">
        <v>3</v>
      </c>
      <c r="B23" s="129">
        <f t="shared" ref="B23:M23" si="2">B10*B16</f>
        <v>0</v>
      </c>
      <c r="C23" s="129">
        <f t="shared" si="2"/>
        <v>627.27499999999998</v>
      </c>
      <c r="D23" s="129">
        <f t="shared" si="2"/>
        <v>-460.90000000000003</v>
      </c>
      <c r="E23" s="129">
        <f t="shared" si="2"/>
        <v>-483.47500000000002</v>
      </c>
      <c r="F23" s="129">
        <f t="shared" si="2"/>
        <v>3270.3</v>
      </c>
      <c r="G23" s="129">
        <f t="shared" si="2"/>
        <v>2693.125</v>
      </c>
      <c r="H23" s="129">
        <f t="shared" si="2"/>
        <v>5108.75</v>
      </c>
      <c r="I23" s="129">
        <f t="shared" si="2"/>
        <v>4647.7749999999996</v>
      </c>
      <c r="J23" s="129">
        <f t="shared" si="2"/>
        <v>6582.2249999999995</v>
      </c>
      <c r="K23" s="129">
        <f t="shared" si="2"/>
        <v>8601.1749999999993</v>
      </c>
      <c r="L23" s="129">
        <f t="shared" si="2"/>
        <v>4978.125</v>
      </c>
      <c r="M23" s="129">
        <f t="shared" si="2"/>
        <v>7926.75</v>
      </c>
      <c r="N23" s="131">
        <f>+SUM(B23:M23)</f>
        <v>43491.125</v>
      </c>
    </row>
    <row r="24" spans="1:17" x14ac:dyDescent="0.2">
      <c r="A24" t="s">
        <v>3</v>
      </c>
      <c r="B24" s="129">
        <f t="shared" ref="B24:J24" si="3">B17*B10</f>
        <v>-11940.206100000001</v>
      </c>
      <c r="C24" s="129">
        <f t="shared" si="3"/>
        <v>-27652.791099999999</v>
      </c>
      <c r="D24" s="129">
        <f t="shared" si="3"/>
        <v>-1495.1596</v>
      </c>
      <c r="E24" s="129">
        <f t="shared" si="3"/>
        <v>-371.30880000000002</v>
      </c>
      <c r="F24" s="129">
        <f t="shared" si="3"/>
        <v>2400.4002</v>
      </c>
      <c r="G24" s="129">
        <f t="shared" si="3"/>
        <v>-3666.9589999999998</v>
      </c>
      <c r="H24" s="129">
        <f t="shared" si="3"/>
        <v>-22331.367999999999</v>
      </c>
      <c r="I24" s="129">
        <f t="shared" si="3"/>
        <v>-22878.883699999998</v>
      </c>
      <c r="J24" s="129">
        <f t="shared" si="3"/>
        <v>-20696.540699999998</v>
      </c>
      <c r="K24" s="129">
        <f>K17*K10</f>
        <v>-18184.447799999998</v>
      </c>
      <c r="L24" s="129">
        <f>L17*L10</f>
        <v>-22485.637500000001</v>
      </c>
      <c r="M24" s="129">
        <f>M17*M10</f>
        <v>-18985.175999999999</v>
      </c>
      <c r="N24" s="131">
        <f>+SUM(B24:M24)</f>
        <v>-168288.07809999998</v>
      </c>
    </row>
    <row r="25" spans="1:17" x14ac:dyDescent="0.2">
      <c r="A25" t="s">
        <v>6</v>
      </c>
      <c r="B25" s="132">
        <f t="shared" ref="B25:L25" si="4">SUM(B20:B24)</f>
        <v>-29218.879560000001</v>
      </c>
      <c r="C25" s="132">
        <f t="shared" si="4"/>
        <v>-44751.42628</v>
      </c>
      <c r="D25" s="132">
        <f t="shared" si="4"/>
        <v>-20124.186496000002</v>
      </c>
      <c r="E25" s="132">
        <f t="shared" si="4"/>
        <v>-15874.874180000001</v>
      </c>
      <c r="F25" s="132">
        <f t="shared" si="4"/>
        <v>-8632.8843039999992</v>
      </c>
      <c r="G25" s="132">
        <f t="shared" si="4"/>
        <v>-28461.423164</v>
      </c>
      <c r="H25" s="132">
        <f t="shared" si="4"/>
        <v>-34125.247524000006</v>
      </c>
      <c r="I25" s="132">
        <f t="shared" si="4"/>
        <v>-34154.343435999996</v>
      </c>
      <c r="J25" s="132">
        <f t="shared" si="4"/>
        <v>-33389.594208000002</v>
      </c>
      <c r="K25" s="132">
        <f t="shared" si="4"/>
        <v>-28633.551308000002</v>
      </c>
      <c r="L25" s="132">
        <f t="shared" si="4"/>
        <v>-34322.482491999996</v>
      </c>
      <c r="M25" s="132">
        <f>SUM(M20:M24)</f>
        <v>-22873.841399999998</v>
      </c>
      <c r="N25" s="132">
        <f>SUM(B25:M25)</f>
        <v>-334562.73435199994</v>
      </c>
      <c r="P25" s="25"/>
      <c r="Q25" s="25"/>
    </row>
    <row r="28" spans="1:17" x14ac:dyDescent="0.2">
      <c r="A28" t="s">
        <v>0</v>
      </c>
      <c r="I28" t="s">
        <v>0</v>
      </c>
    </row>
    <row r="29" spans="1:17" x14ac:dyDescent="0.2">
      <c r="A29" s="6" t="s">
        <v>141</v>
      </c>
    </row>
    <row r="30" spans="1:17" x14ac:dyDescent="0.2">
      <c r="E30" s="14"/>
      <c r="H30" s="3"/>
      <c r="I30" t="s">
        <v>9</v>
      </c>
      <c r="J30" s="1" t="s">
        <v>10</v>
      </c>
      <c r="K30" t="s">
        <v>34</v>
      </c>
    </row>
    <row r="31" spans="1:17" x14ac:dyDescent="0.2">
      <c r="A31" s="3"/>
      <c r="B31" s="3"/>
      <c r="C31" s="3"/>
      <c r="D31" s="3"/>
      <c r="E31" s="3"/>
      <c r="N31" s="24"/>
      <c r="O31" s="24"/>
    </row>
    <row r="32" spans="1:17" x14ac:dyDescent="0.2">
      <c r="A32" s="11" t="s">
        <v>135</v>
      </c>
      <c r="B32" s="10"/>
      <c r="C32" s="10"/>
      <c r="D32" s="139">
        <f>J32</f>
        <v>17595</v>
      </c>
      <c r="I32" s="37">
        <v>43922</v>
      </c>
      <c r="J32" s="139">
        <v>17595</v>
      </c>
      <c r="K32" s="139">
        <f>B25</f>
        <v>-29218.879560000001</v>
      </c>
      <c r="N32" s="21"/>
      <c r="O32" s="22"/>
    </row>
    <row r="33" spans="1:15" x14ac:dyDescent="0.2">
      <c r="A33" s="11" t="s">
        <v>136</v>
      </c>
      <c r="B33" s="10"/>
      <c r="C33" s="10"/>
      <c r="D33" s="139">
        <f>J33</f>
        <v>17634</v>
      </c>
      <c r="I33" s="37">
        <v>43952</v>
      </c>
      <c r="J33" s="139">
        <v>17634</v>
      </c>
      <c r="K33" s="139">
        <f>C25</f>
        <v>-44751.42628</v>
      </c>
      <c r="N33" s="23"/>
      <c r="O33" s="23"/>
    </row>
    <row r="34" spans="1:15" x14ac:dyDescent="0.2">
      <c r="A34" s="11" t="s">
        <v>137</v>
      </c>
      <c r="B34" s="10"/>
      <c r="C34" s="10"/>
      <c r="D34" s="139">
        <f>J34</f>
        <v>17725</v>
      </c>
      <c r="E34" s="3"/>
      <c r="I34" s="37">
        <v>43983</v>
      </c>
      <c r="J34" s="139">
        <v>17725</v>
      </c>
      <c r="K34" s="139">
        <f>D25</f>
        <v>-20124.186496000002</v>
      </c>
      <c r="N34" s="24"/>
      <c r="O34" s="25"/>
    </row>
    <row r="35" spans="1:15" x14ac:dyDescent="0.2">
      <c r="B35" s="10" t="s">
        <v>8</v>
      </c>
      <c r="C35" s="10"/>
      <c r="D35" s="140">
        <f>SUM(D31:D34)</f>
        <v>52954</v>
      </c>
      <c r="I35" s="37">
        <v>44013</v>
      </c>
      <c r="J35" s="139">
        <v>17814</v>
      </c>
      <c r="K35" s="139">
        <f>E25</f>
        <v>-15874.874180000001</v>
      </c>
      <c r="N35" s="24"/>
      <c r="O35" s="25"/>
    </row>
    <row r="36" spans="1:15" x14ac:dyDescent="0.2">
      <c r="D36" s="19"/>
      <c r="I36" s="37">
        <v>44044</v>
      </c>
      <c r="J36" s="139">
        <v>17872</v>
      </c>
      <c r="K36" s="139">
        <f>F25</f>
        <v>-8632.8843039999992</v>
      </c>
      <c r="N36" s="24"/>
      <c r="O36" s="25"/>
    </row>
    <row r="37" spans="1:15" x14ac:dyDescent="0.2">
      <c r="A37" s="35" t="s">
        <v>7</v>
      </c>
      <c r="B37" s="36"/>
      <c r="C37" s="36"/>
      <c r="D37" s="141">
        <f>SUM(181632.22/52954)</f>
        <v>3.43</v>
      </c>
      <c r="E37" s="3"/>
      <c r="F37" s="139">
        <f>D35*D37</f>
        <v>181632.22</v>
      </c>
      <c r="I37" s="37">
        <v>44075</v>
      </c>
      <c r="J37" s="139">
        <v>17857</v>
      </c>
      <c r="K37" s="139">
        <f>G25</f>
        <v>-28461.423164</v>
      </c>
      <c r="N37" s="24"/>
      <c r="O37" s="25"/>
    </row>
    <row r="38" spans="1:15" x14ac:dyDescent="0.2">
      <c r="A38" s="27"/>
      <c r="B38" s="27"/>
      <c r="C38" s="27"/>
      <c r="D38" s="28"/>
      <c r="E38" s="3"/>
      <c r="F38" s="3"/>
      <c r="I38" s="37">
        <v>44105</v>
      </c>
      <c r="J38" s="139">
        <v>17801</v>
      </c>
      <c r="K38" s="139">
        <f>H25</f>
        <v>-34125.247524000006</v>
      </c>
      <c r="N38" s="24"/>
      <c r="O38" s="25"/>
    </row>
    <row r="39" spans="1:15" x14ac:dyDescent="0.2">
      <c r="D39" s="19"/>
      <c r="I39" s="37">
        <v>44136</v>
      </c>
      <c r="J39" s="139">
        <v>17901</v>
      </c>
      <c r="K39" s="139">
        <f>I25</f>
        <v>-34154.343435999996</v>
      </c>
      <c r="N39" s="24"/>
      <c r="O39" s="25"/>
    </row>
    <row r="40" spans="1:15" x14ac:dyDescent="0.2">
      <c r="A40" s="29" t="s">
        <v>138</v>
      </c>
      <c r="B40" s="30"/>
      <c r="C40" s="30"/>
      <c r="D40" s="142">
        <f>SUM(J35:J43)</f>
        <v>160771</v>
      </c>
      <c r="H40" s="3"/>
      <c r="I40" s="37">
        <v>44166</v>
      </c>
      <c r="J40" s="139">
        <v>17897</v>
      </c>
      <c r="K40" s="139">
        <f>J25</f>
        <v>-33389.594208000002</v>
      </c>
      <c r="N40" s="25"/>
      <c r="O40" s="25"/>
    </row>
    <row r="41" spans="1:15" x14ac:dyDescent="0.2">
      <c r="A41" s="30" t="s">
        <v>7</v>
      </c>
      <c r="B41" s="30"/>
      <c r="C41" s="30"/>
      <c r="D41" s="142">
        <v>0.34</v>
      </c>
      <c r="F41" s="139">
        <f>D40*D41</f>
        <v>54662.140000000007</v>
      </c>
      <c r="H41" s="3"/>
      <c r="I41" s="37">
        <v>44197</v>
      </c>
      <c r="J41" s="139">
        <v>17929</v>
      </c>
      <c r="K41" s="139">
        <f>K25</f>
        <v>-28633.551308000002</v>
      </c>
    </row>
    <row r="42" spans="1:15" x14ac:dyDescent="0.2">
      <c r="D42" s="19"/>
      <c r="I42" s="37">
        <v>44228</v>
      </c>
      <c r="J42" s="139">
        <v>17777</v>
      </c>
      <c r="K42" s="139">
        <f>L25</f>
        <v>-34322.482491999996</v>
      </c>
    </row>
    <row r="43" spans="1:15" x14ac:dyDescent="0.2">
      <c r="A43" s="12" t="s">
        <v>133</v>
      </c>
      <c r="B43" s="3"/>
      <c r="C43" s="3"/>
      <c r="D43" s="13"/>
      <c r="E43" s="13"/>
      <c r="F43" s="140">
        <f>SUM(F37:F42)</f>
        <v>236294.36000000002</v>
      </c>
      <c r="G43" s="4"/>
      <c r="I43" s="37">
        <v>44256</v>
      </c>
      <c r="J43" s="139">
        <v>17923</v>
      </c>
      <c r="K43" s="139">
        <f>M25</f>
        <v>-22873.841399999998</v>
      </c>
    </row>
    <row r="44" spans="1:15" x14ac:dyDescent="0.2">
      <c r="A44" s="7" t="s">
        <v>132</v>
      </c>
      <c r="B44" s="8"/>
      <c r="C44" s="8"/>
      <c r="D44" s="9"/>
      <c r="E44" s="9"/>
      <c r="F44" s="139">
        <f>N25</f>
        <v>-334562.73435199994</v>
      </c>
      <c r="G44" s="4"/>
      <c r="I44" s="15" t="s">
        <v>11</v>
      </c>
      <c r="J44" s="143">
        <f>SUM(J32:J43)</f>
        <v>213725</v>
      </c>
      <c r="K44" s="143">
        <f>SUM(K32:K43)</f>
        <v>-334562.73435199994</v>
      </c>
      <c r="L44" s="144">
        <f>SUM(K44/J44)</f>
        <v>-1.5653888611627089</v>
      </c>
    </row>
    <row r="45" spans="1:15" x14ac:dyDescent="0.2">
      <c r="D45" s="4"/>
      <c r="E45" s="4"/>
      <c r="F45" s="4"/>
      <c r="G45" s="4"/>
      <c r="I45" s="17" t="s">
        <v>12</v>
      </c>
      <c r="J45" s="143">
        <f>+SUM(J44/12)</f>
        <v>17810.416666666668</v>
      </c>
      <c r="K45" s="143">
        <f>+SUM(K44/12)</f>
        <v>-27880.227862666663</v>
      </c>
      <c r="L45" s="144">
        <f>SUM(K45/J45)</f>
        <v>-1.5653888611627087</v>
      </c>
    </row>
    <row r="46" spans="1:15" x14ac:dyDescent="0.2">
      <c r="A46" t="s">
        <v>35</v>
      </c>
      <c r="D46" s="4"/>
      <c r="E46" s="4"/>
      <c r="F46" s="139">
        <f>+SUM(F44+F43)</f>
        <v>-98268.374351999926</v>
      </c>
      <c r="G46" s="4"/>
    </row>
    <row r="47" spans="1:15" x14ac:dyDescent="0.2">
      <c r="D47" s="4"/>
      <c r="E47" s="4"/>
      <c r="F47" s="4"/>
      <c r="G47" s="4"/>
    </row>
    <row r="48" spans="1:15" x14ac:dyDescent="0.2">
      <c r="A48" t="s">
        <v>16</v>
      </c>
      <c r="D48" s="4"/>
      <c r="E48" s="4"/>
      <c r="F48" s="4"/>
      <c r="G48" s="4"/>
    </row>
    <row r="49" spans="1:7" x14ac:dyDescent="0.2">
      <c r="D49" s="4"/>
      <c r="E49" s="4"/>
      <c r="F49" s="4"/>
      <c r="G49" s="4"/>
    </row>
    <row r="50" spans="1:7" x14ac:dyDescent="0.2">
      <c r="A50" t="s">
        <v>37</v>
      </c>
      <c r="D50" s="4"/>
      <c r="E50" s="4"/>
      <c r="F50" s="139">
        <f>F46</f>
        <v>-98268.374351999926</v>
      </c>
      <c r="G50" s="4"/>
    </row>
    <row r="51" spans="1:7" x14ac:dyDescent="0.2">
      <c r="A51" t="s">
        <v>18</v>
      </c>
      <c r="D51" s="4"/>
      <c r="E51" s="4"/>
      <c r="F51" s="139">
        <f>J44/12</f>
        <v>17810.416666666668</v>
      </c>
      <c r="G51" s="4"/>
    </row>
    <row r="52" spans="1:7" x14ac:dyDescent="0.2">
      <c r="A52" t="s">
        <v>36</v>
      </c>
      <c r="D52" s="4"/>
      <c r="E52" s="4"/>
      <c r="F52" s="139">
        <f>SUM(F46/F51)</f>
        <v>-5.5174663339525045</v>
      </c>
      <c r="G52" s="4"/>
    </row>
    <row r="53" spans="1:7" x14ac:dyDescent="0.2">
      <c r="A53" t="s">
        <v>17</v>
      </c>
      <c r="D53" s="4"/>
      <c r="E53" s="4"/>
      <c r="F53" s="139">
        <f>SUM(F52/12)</f>
        <v>-0.45978886116270873</v>
      </c>
      <c r="G53" s="4"/>
    </row>
    <row r="54" spans="1:7" x14ac:dyDescent="0.2">
      <c r="D54" s="4"/>
      <c r="E54" s="4"/>
      <c r="F54" s="4"/>
      <c r="G54" s="4"/>
    </row>
    <row r="55" spans="1:7" x14ac:dyDescent="0.2">
      <c r="A55" t="s">
        <v>13</v>
      </c>
      <c r="D55" s="4"/>
      <c r="E55" s="4"/>
      <c r="F55" s="4"/>
      <c r="G55" s="4"/>
    </row>
    <row r="56" spans="1:7" x14ac:dyDescent="0.2">
      <c r="A56" t="s">
        <v>38</v>
      </c>
      <c r="D56" s="4"/>
      <c r="E56" s="4"/>
      <c r="F56" s="4"/>
      <c r="G56" s="139">
        <f>+N25</f>
        <v>-334562.73435199994</v>
      </c>
    </row>
    <row r="57" spans="1:7" x14ac:dyDescent="0.2">
      <c r="A57" t="s">
        <v>14</v>
      </c>
      <c r="D57" s="4"/>
      <c r="E57" s="4"/>
      <c r="F57" s="4"/>
      <c r="G57" s="139">
        <f>J44</f>
        <v>213725</v>
      </c>
    </row>
    <row r="58" spans="1:7" x14ac:dyDescent="0.2">
      <c r="D58" s="4"/>
      <c r="E58" s="4"/>
      <c r="F58" s="4"/>
      <c r="G58" s="4"/>
    </row>
    <row r="59" spans="1:7" x14ac:dyDescent="0.2">
      <c r="A59" s="6" t="s">
        <v>48</v>
      </c>
      <c r="D59" s="4"/>
      <c r="E59" s="4"/>
      <c r="F59" s="4"/>
      <c r="G59" s="4">
        <f>ROUND(SUM(G56/G57),2)</f>
        <v>-1.57</v>
      </c>
    </row>
    <row r="60" spans="1:7" x14ac:dyDescent="0.2">
      <c r="A60" t="s">
        <v>15</v>
      </c>
      <c r="D60" s="4"/>
      <c r="E60" s="4"/>
      <c r="F60" s="4"/>
      <c r="G60" s="4">
        <f>+F53</f>
        <v>-0.45978886116270873</v>
      </c>
    </row>
    <row r="61" spans="1:7" x14ac:dyDescent="0.2">
      <c r="A61" t="s">
        <v>39</v>
      </c>
      <c r="D61" s="4"/>
      <c r="E61" s="4"/>
      <c r="F61" s="4"/>
      <c r="G61" s="20">
        <f>ROUND(SUM(G59:G60),2)</f>
        <v>-2.0299999999999998</v>
      </c>
    </row>
  </sheetData>
  <pageMargins left="0.7" right="0.7" top="0.75" bottom="0.75" header="0.3" footer="0.3"/>
  <pageSetup scale="64" orientation="landscape"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015f1b76-b32e-440f-80a7-f0ca4d8a872c" ContentTypeId="0x0101006E56B4D1795A2E4DB2F0B01679ED314A" PreviousValue="true"/>
</file>

<file path=customXml/item2.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31E15F1CF08D5347B7D7B7212B9A9EA9" ma:contentTypeVersion="44" ma:contentTypeDescription="" ma:contentTypeScope="" ma:versionID="0a22568f604db21bec26c139ec0c1b30">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5371b12cbd0ca12feeca5b6edfa8e73e"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TG</Prefix>
    <DocumentSetType xmlns="dc463f71-b30c-4ab2-9473-d307f9d35888">Workpapers</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227</IndustryCode>
    <CaseStatus xmlns="dc463f71-b30c-4ab2-9473-d307f9d35888">Closed</CaseStatus>
    <OpenedDate xmlns="dc463f71-b30c-4ab2-9473-d307f9d35888">2021-06-28T07:00:00+00:00</OpenedDate>
    <SignificantOrder xmlns="dc463f71-b30c-4ab2-9473-d307f9d35888">false</SignificantOrder>
    <Date1 xmlns="dc463f71-b30c-4ab2-9473-d307f9d35888">2021-06-28T07:00:00+00:00</Date1>
    <IsDocumentOrder xmlns="dc463f71-b30c-4ab2-9473-d307f9d35888">false</IsDocumentOrder>
    <IsHighlyConfidential xmlns="dc463f71-b30c-4ab2-9473-d307f9d35888">false</IsHighlyConfidential>
    <CaseCompanyNames xmlns="dc463f71-b30c-4ab2-9473-d307f9d35888">Rubatino Refuse Removal Inc.  </CaseCompanyNames>
    <Nickname xmlns="http://schemas.microsoft.com/sharepoint/v3" xsi:nil="true"/>
    <DocketNumber xmlns="dc463f71-b30c-4ab2-9473-d307f9d35888">210510</DocketNumber>
    <DelegatedOrder xmlns="dc463f71-b30c-4ab2-9473-d307f9d35888">false</DelegatedOrder>
  </documentManagement>
</p:properties>
</file>

<file path=customXml/itemProps1.xml><?xml version="1.0" encoding="utf-8"?>
<ds:datastoreItem xmlns:ds="http://schemas.openxmlformats.org/officeDocument/2006/customXml" ds:itemID="{6EFDD577-F386-4B1F-BE45-8577736885D8}"/>
</file>

<file path=customXml/itemProps2.xml><?xml version="1.0" encoding="utf-8"?>
<ds:datastoreItem xmlns:ds="http://schemas.openxmlformats.org/officeDocument/2006/customXml" ds:itemID="{D0CEFF4C-FEB2-4C71-98EB-57A95655A2D9}"/>
</file>

<file path=customXml/itemProps3.xml><?xml version="1.0" encoding="utf-8"?>
<ds:datastoreItem xmlns:ds="http://schemas.openxmlformats.org/officeDocument/2006/customXml" ds:itemID="{0379BEE6-A903-4842-B283-D90703778E05}"/>
</file>

<file path=customXml/itemProps4.xml><?xml version="1.0" encoding="utf-8"?>
<ds:datastoreItem xmlns:ds="http://schemas.openxmlformats.org/officeDocument/2006/customXml" ds:itemID="{589D211C-0CEC-4A57-A987-7A7783A7421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2021 Staff Analysis</vt:lpstr>
      <vt:lpstr>2020 WORKING COPY </vt:lpstr>
      <vt:lpstr>WUTC-Projections</vt:lpstr>
      <vt:lpstr>2020 CONFIDENTIAL</vt:lpstr>
      <vt:lpstr>2020 REDACTED</vt:lpstr>
    </vt:vector>
  </TitlesOfParts>
  <Company>Rubatino Refuse Removal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Jerri</dc:creator>
  <cp:lastModifiedBy>Weldon Burton</cp:lastModifiedBy>
  <cp:lastPrinted>2021-06-03T16:18:28Z</cp:lastPrinted>
  <dcterms:created xsi:type="dcterms:W3CDTF">2005-09-27T16:43:26Z</dcterms:created>
  <dcterms:modified xsi:type="dcterms:W3CDTF">2021-06-25T22:10:05Z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0x0101006E56B4D1795A2E4DB2F0B01679ED314A0031E15F1CF08D5347B7D7B7212B9A9EA9</vt:lpwstr>
  </property>
  <property fmtid="{D5CDD505-2E9C-101B-9397-08002B2CF9AE}" pid="3" name="_docset_NoMedatataSyncRequired">
    <vt:lpwstr>False</vt:lpwstr>
  </property>
  <property fmtid="{D5CDD505-2E9C-101B-9397-08002B2CF9AE}" pid="4" name="IsEFSEC">
    <vt:bool>false</vt:bool>
  </property>
</Properties>
</file>