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9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Decoupling\2020 Decoupling Filing - 2019 GRC Revision\Filed 11-06-2020\"/>
    </mc:Choice>
  </mc:AlternateContent>
  <bookViews>
    <workbookView xWindow="22665" yWindow="435" windowWidth="20370" windowHeight="7965" tabRatio="931"/>
  </bookViews>
  <sheets>
    <sheet name="Exh. JAP-11 Page 1" sheetId="120" r:id="rId1"/>
    <sheet name="Exh. JAP-11 Page 2" sheetId="5" r:id="rId2"/>
    <sheet name="Exh. JAP-11 Page 3" sheetId="189" r:id="rId3"/>
    <sheet name="Exh. JAP-11 Page 3a" sheetId="215" r:id="rId4"/>
    <sheet name="Exh. JAP-11 Page 4 (Original)" sheetId="54" r:id="rId5"/>
    <sheet name="Exh. JAP-11 Page 4 (Revised)" sheetId="307" r:id="rId6"/>
    <sheet name="Work Papers For Exhibits--&gt;" sheetId="36" r:id="rId7"/>
    <sheet name="12ME Dec 2018 Cust Data" sheetId="302" r:id="rId8"/>
    <sheet name="2019 GRC PCA Cost (Revised)" sheetId="305" r:id="rId9"/>
    <sheet name="Exhibit A-1 (Revised)" sheetId="306" r:id="rId10"/>
    <sheet name="2019 GRC PCA Cost (Original)" sheetId="303" r:id="rId11"/>
    <sheet name="Exhibit A-1 (Original)" sheetId="30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 localSheetId="5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5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5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/>
</workbook>
</file>

<file path=xl/calcChain.xml><?xml version="1.0" encoding="utf-8"?>
<calcChain xmlns="http://schemas.openxmlformats.org/spreadsheetml/2006/main">
  <c r="Q56" i="307" l="1"/>
  <c r="Q52" i="307"/>
  <c r="Q48" i="307"/>
  <c r="Q44" i="307"/>
  <c r="Q40" i="307"/>
  <c r="Q36" i="307"/>
  <c r="D56" i="307"/>
  <c r="B55" i="307"/>
  <c r="N53" i="307"/>
  <c r="D52" i="307"/>
  <c r="B51" i="307"/>
  <c r="D48" i="307"/>
  <c r="D44" i="307"/>
  <c r="B43" i="307"/>
  <c r="D40" i="307"/>
  <c r="B39" i="307"/>
  <c r="B35" i="307"/>
  <c r="P32" i="307"/>
  <c r="L32" i="307"/>
  <c r="H32" i="307"/>
  <c r="Q31" i="307"/>
  <c r="N32" i="307" s="1"/>
  <c r="D31" i="307"/>
  <c r="C31" i="307"/>
  <c r="P28" i="307"/>
  <c r="P53" i="307" s="1"/>
  <c r="L28" i="307"/>
  <c r="L53" i="307" s="1"/>
  <c r="H28" i="307"/>
  <c r="H53" i="307" s="1"/>
  <c r="Q27" i="307"/>
  <c r="N28" i="307" s="1"/>
  <c r="D27" i="307"/>
  <c r="Q23" i="307"/>
  <c r="M24" i="307" s="1"/>
  <c r="M49" i="307" s="1"/>
  <c r="Q19" i="307"/>
  <c r="M20" i="307" s="1"/>
  <c r="M45" i="307" s="1"/>
  <c r="D19" i="307"/>
  <c r="C19" i="307"/>
  <c r="Q15" i="307"/>
  <c r="M16" i="307" s="1"/>
  <c r="D15" i="307"/>
  <c r="D23" i="307" s="1"/>
  <c r="C15" i="307"/>
  <c r="C23" i="307" s="1"/>
  <c r="Q11" i="307"/>
  <c r="M12" i="307" s="1"/>
  <c r="A11" i="307"/>
  <c r="A12" i="307" s="1"/>
  <c r="A5" i="307"/>
  <c r="A3" i="307"/>
  <c r="A2" i="307"/>
  <c r="A1" i="307"/>
  <c r="F22" i="215"/>
  <c r="D22" i="215"/>
  <c r="G22" i="215"/>
  <c r="E22" i="215"/>
  <c r="C22" i="215"/>
  <c r="A16" i="5"/>
  <c r="A17" i="5" s="1"/>
  <c r="A18" i="5" s="1"/>
  <c r="A19" i="5" s="1"/>
  <c r="A20" i="5" s="1"/>
  <c r="A21" i="5" s="1"/>
  <c r="A20" i="120"/>
  <c r="A21" i="120" s="1"/>
  <c r="A22" i="120" s="1"/>
  <c r="A23" i="120" s="1"/>
  <c r="A24" i="120" s="1"/>
  <c r="A25" i="120" s="1"/>
  <c r="A26" i="120" s="1"/>
  <c r="A27" i="120" s="1"/>
  <c r="A28" i="120" s="1"/>
  <c r="A29" i="120" s="1"/>
  <c r="A30" i="120" s="1"/>
  <c r="C21" i="189"/>
  <c r="A14" i="189"/>
  <c r="A15" i="189"/>
  <c r="A16" i="189"/>
  <c r="A17" i="189"/>
  <c r="A18" i="189" s="1"/>
  <c r="A19" i="189" s="1"/>
  <c r="A20" i="189" s="1"/>
  <c r="A21" i="189" s="1"/>
  <c r="A22" i="189" s="1"/>
  <c r="A13" i="189"/>
  <c r="D19" i="5"/>
  <c r="D21" i="5" s="1"/>
  <c r="I20" i="5"/>
  <c r="H20" i="5"/>
  <c r="G20" i="5"/>
  <c r="F20" i="5"/>
  <c r="E20" i="5"/>
  <c r="D20" i="5"/>
  <c r="I14" i="5"/>
  <c r="H14" i="5"/>
  <c r="G14" i="5"/>
  <c r="F14" i="5"/>
  <c r="E14" i="5"/>
  <c r="D14" i="5"/>
  <c r="A13" i="5"/>
  <c r="A14" i="5" s="1"/>
  <c r="A15" i="5" s="1"/>
  <c r="A12" i="5"/>
  <c r="M23" i="120"/>
  <c r="L23" i="120"/>
  <c r="K23" i="120"/>
  <c r="I23" i="120"/>
  <c r="H23" i="120"/>
  <c r="G23" i="120"/>
  <c r="E23" i="120"/>
  <c r="D23" i="120"/>
  <c r="M13" i="120"/>
  <c r="L13" i="120"/>
  <c r="K13" i="120"/>
  <c r="I13" i="120"/>
  <c r="H13" i="120"/>
  <c r="G13" i="120"/>
  <c r="E13" i="120"/>
  <c r="D13" i="120"/>
  <c r="C20" i="305"/>
  <c r="C19" i="305"/>
  <c r="C17" i="305"/>
  <c r="C15" i="305"/>
  <c r="C11" i="305"/>
  <c r="A10" i="305"/>
  <c r="A11" i="305" s="1"/>
  <c r="A12" i="305" s="1"/>
  <c r="A13" i="305" s="1"/>
  <c r="A14" i="305" s="1"/>
  <c r="A15" i="305" s="1"/>
  <c r="A16" i="305" s="1"/>
  <c r="A17" i="305" s="1"/>
  <c r="A18" i="305" s="1"/>
  <c r="A19" i="305" s="1"/>
  <c r="A20" i="305" s="1"/>
  <c r="A21" i="305" s="1"/>
  <c r="A22" i="305" s="1"/>
  <c r="A23" i="305" s="1"/>
  <c r="A24" i="305" s="1"/>
  <c r="A25" i="305" s="1"/>
  <c r="A26" i="305" s="1"/>
  <c r="A27" i="305" s="1"/>
  <c r="A28" i="305" s="1"/>
  <c r="A29" i="305" s="1"/>
  <c r="A30" i="305" s="1"/>
  <c r="C9" i="305"/>
  <c r="M24" i="120"/>
  <c r="M28" i="120" s="1"/>
  <c r="K24" i="120"/>
  <c r="K28" i="120" s="1"/>
  <c r="H24" i="120"/>
  <c r="H28" i="120" s="1"/>
  <c r="H19" i="5" s="1"/>
  <c r="H21" i="5" s="1"/>
  <c r="E24" i="120"/>
  <c r="E28" i="120" s="1"/>
  <c r="E19" i="189" s="1"/>
  <c r="E21" i="189" s="1"/>
  <c r="D24" i="120"/>
  <c r="D28" i="120" s="1"/>
  <c r="D19" i="189" s="1"/>
  <c r="D21" i="189" s="1"/>
  <c r="A13" i="307" l="1"/>
  <c r="A14" i="307" s="1"/>
  <c r="A15" i="307" s="1"/>
  <c r="A16" i="307" s="1"/>
  <c r="M37" i="307"/>
  <c r="G12" i="307"/>
  <c r="G37" i="307" s="1"/>
  <c r="K16" i="307"/>
  <c r="O24" i="307"/>
  <c r="O49" i="307" s="1"/>
  <c r="F12" i="307"/>
  <c r="F37" i="307" s="1"/>
  <c r="J12" i="307"/>
  <c r="J37" i="307" s="1"/>
  <c r="N12" i="307"/>
  <c r="F16" i="307"/>
  <c r="J16" i="307"/>
  <c r="J41" i="307" s="1"/>
  <c r="N16" i="307"/>
  <c r="N41" i="307" s="1"/>
  <c r="F20" i="307"/>
  <c r="J20" i="307"/>
  <c r="N20" i="307"/>
  <c r="N45" i="307" s="1"/>
  <c r="F24" i="307"/>
  <c r="J24" i="307"/>
  <c r="N24" i="307"/>
  <c r="N49" i="307" s="1"/>
  <c r="G28" i="307"/>
  <c r="G53" i="307" s="1"/>
  <c r="K28" i="307"/>
  <c r="K53" i="307" s="1"/>
  <c r="O28" i="307"/>
  <c r="O53" i="307" s="1"/>
  <c r="G32" i="307"/>
  <c r="G57" i="307" s="1"/>
  <c r="K32" i="307"/>
  <c r="K57" i="307" s="1"/>
  <c r="O32" i="307"/>
  <c r="O57" i="307" s="1"/>
  <c r="N37" i="307"/>
  <c r="E41" i="307"/>
  <c r="M41" i="307"/>
  <c r="J57" i="307"/>
  <c r="N57" i="307"/>
  <c r="K12" i="307"/>
  <c r="K37" i="307" s="1"/>
  <c r="K20" i="307"/>
  <c r="K45" i="307" s="1"/>
  <c r="K24" i="307"/>
  <c r="K49" i="307" s="1"/>
  <c r="H12" i="307"/>
  <c r="L12" i="307"/>
  <c r="L37" i="307" s="1"/>
  <c r="P12" i="307"/>
  <c r="P37" i="307" s="1"/>
  <c r="H16" i="307"/>
  <c r="L16" i="307"/>
  <c r="P16" i="307"/>
  <c r="P41" i="307" s="1"/>
  <c r="H20" i="307"/>
  <c r="H45" i="307" s="1"/>
  <c r="L20" i="307"/>
  <c r="L45" i="307" s="1"/>
  <c r="P20" i="307"/>
  <c r="P45" i="307" s="1"/>
  <c r="H24" i="307"/>
  <c r="H49" i="307" s="1"/>
  <c r="L24" i="307"/>
  <c r="L49" i="307" s="1"/>
  <c r="P24" i="307"/>
  <c r="P49" i="307" s="1"/>
  <c r="E28" i="307"/>
  <c r="I28" i="307"/>
  <c r="M28" i="307"/>
  <c r="E32" i="307"/>
  <c r="I32" i="307"/>
  <c r="M32" i="307"/>
  <c r="M57" i="307" s="1"/>
  <c r="H37" i="307"/>
  <c r="G41" i="307"/>
  <c r="K41" i="307"/>
  <c r="F45" i="307"/>
  <c r="J45" i="307"/>
  <c r="F49" i="307"/>
  <c r="J49" i="307"/>
  <c r="E53" i="307"/>
  <c r="I53" i="307"/>
  <c r="M53" i="307"/>
  <c r="H57" i="307"/>
  <c r="L57" i="307"/>
  <c r="P57" i="307"/>
  <c r="O12" i="307"/>
  <c r="O37" i="307" s="1"/>
  <c r="G16" i="307"/>
  <c r="O16" i="307"/>
  <c r="O41" i="307" s="1"/>
  <c r="G20" i="307"/>
  <c r="G45" i="307" s="1"/>
  <c r="O20" i="307"/>
  <c r="O45" i="307" s="1"/>
  <c r="G24" i="307"/>
  <c r="G49" i="307" s="1"/>
  <c r="F41" i="307"/>
  <c r="E12" i="307"/>
  <c r="Q12" i="307" s="1"/>
  <c r="I12" i="307"/>
  <c r="E16" i="307"/>
  <c r="I16" i="307"/>
  <c r="I41" i="307" s="1"/>
  <c r="E20" i="307"/>
  <c r="I20" i="307"/>
  <c r="I45" i="307" s="1"/>
  <c r="E24" i="307"/>
  <c r="I24" i="307"/>
  <c r="I49" i="307" s="1"/>
  <c r="F28" i="307"/>
  <c r="J28" i="307"/>
  <c r="F32" i="307"/>
  <c r="F57" i="307" s="1"/>
  <c r="J32" i="307"/>
  <c r="E37" i="307"/>
  <c r="I37" i="307"/>
  <c r="H41" i="307"/>
  <c r="L41" i="307"/>
  <c r="F53" i="307"/>
  <c r="J53" i="307"/>
  <c r="E57" i="307"/>
  <c r="I57" i="307"/>
  <c r="C21" i="5"/>
  <c r="F23" i="120"/>
  <c r="E19" i="5"/>
  <c r="E21" i="5" s="1"/>
  <c r="G24" i="120"/>
  <c r="G28" i="120" s="1"/>
  <c r="L24" i="120"/>
  <c r="L28" i="120" s="1"/>
  <c r="F26" i="120"/>
  <c r="I24" i="120"/>
  <c r="I28" i="120" s="1"/>
  <c r="I19" i="5" s="1"/>
  <c r="I21" i="5" s="1"/>
  <c r="F22" i="120"/>
  <c r="F24" i="120" s="1"/>
  <c r="F28" i="120" s="1"/>
  <c r="P28" i="305"/>
  <c r="L28" i="305"/>
  <c r="H28" i="305"/>
  <c r="O28" i="305"/>
  <c r="K28" i="305"/>
  <c r="G28" i="305"/>
  <c r="N28" i="305"/>
  <c r="J28" i="305"/>
  <c r="F28" i="305"/>
  <c r="I28" i="305"/>
  <c r="M28" i="305"/>
  <c r="C10" i="305"/>
  <c r="G29" i="305" s="1"/>
  <c r="E28" i="305"/>
  <c r="A5" i="54"/>
  <c r="A5" i="215"/>
  <c r="A5" i="189"/>
  <c r="A5" i="5"/>
  <c r="A17" i="307" l="1"/>
  <c r="A18" i="307" s="1"/>
  <c r="A19" i="307" s="1"/>
  <c r="A20" i="307" s="1"/>
  <c r="Q16" i="307"/>
  <c r="Q53" i="307"/>
  <c r="Q28" i="307"/>
  <c r="Q37" i="307"/>
  <c r="Q20" i="307"/>
  <c r="E45" i="307"/>
  <c r="Q45" i="307" s="1"/>
  <c r="Q41" i="307"/>
  <c r="Q57" i="307"/>
  <c r="Q24" i="307"/>
  <c r="E49" i="307"/>
  <c r="Q49" i="307" s="1"/>
  <c r="Q32" i="307"/>
  <c r="G19" i="189"/>
  <c r="G21" i="189" s="1"/>
  <c r="G19" i="5"/>
  <c r="G21" i="5" s="1"/>
  <c r="F19" i="189"/>
  <c r="F21" i="189" s="1"/>
  <c r="F19" i="5"/>
  <c r="F21" i="5" s="1"/>
  <c r="O29" i="305"/>
  <c r="N24" i="305"/>
  <c r="J24" i="305"/>
  <c r="F24" i="305"/>
  <c r="G24" i="305"/>
  <c r="M24" i="305"/>
  <c r="I24" i="305"/>
  <c r="E24" i="305"/>
  <c r="O24" i="305"/>
  <c r="P24" i="305"/>
  <c r="L24" i="305"/>
  <c r="H24" i="305"/>
  <c r="K24" i="305"/>
  <c r="M30" i="305"/>
  <c r="G30" i="305"/>
  <c r="K29" i="305"/>
  <c r="K30" i="305" s="1"/>
  <c r="C28" i="305"/>
  <c r="N29" i="305"/>
  <c r="N30" i="305" s="1"/>
  <c r="J29" i="305"/>
  <c r="J30" i="305" s="1"/>
  <c r="F29" i="305"/>
  <c r="F30" i="305" s="1"/>
  <c r="M29" i="305"/>
  <c r="I29" i="305"/>
  <c r="I30" i="305" s="1"/>
  <c r="E29" i="305"/>
  <c r="P29" i="305"/>
  <c r="P30" i="305" s="1"/>
  <c r="L29" i="305"/>
  <c r="L30" i="305" s="1"/>
  <c r="H29" i="305"/>
  <c r="H30" i="305" s="1"/>
  <c r="O30" i="305"/>
  <c r="G37" i="304"/>
  <c r="F34" i="304"/>
  <c r="K44" i="304"/>
  <c r="D31" i="304"/>
  <c r="G30" i="304"/>
  <c r="K76" i="304"/>
  <c r="F28" i="304"/>
  <c r="K72" i="304"/>
  <c r="K74" i="304" s="1"/>
  <c r="G26" i="304"/>
  <c r="K66" i="304"/>
  <c r="K28" i="304"/>
  <c r="K41" i="304"/>
  <c r="K27" i="304"/>
  <c r="F22" i="304"/>
  <c r="K40" i="304"/>
  <c r="K26" i="304"/>
  <c r="K25" i="304"/>
  <c r="D19" i="304"/>
  <c r="D18" i="304"/>
  <c r="K67" i="304"/>
  <c r="L30" i="304"/>
  <c r="A9" i="304"/>
  <c r="A10" i="304" s="1"/>
  <c r="A11" i="304" s="1"/>
  <c r="A12" i="304" s="1"/>
  <c r="A21" i="307" l="1"/>
  <c r="A22" i="307" s="1"/>
  <c r="A23" i="307" s="1"/>
  <c r="A24" i="307" s="1"/>
  <c r="C29" i="305"/>
  <c r="P23" i="305"/>
  <c r="P25" i="305" s="1"/>
  <c r="L23" i="305"/>
  <c r="L25" i="305" s="1"/>
  <c r="H23" i="305"/>
  <c r="H25" i="305" s="1"/>
  <c r="I23" i="305"/>
  <c r="I25" i="305" s="1"/>
  <c r="O23" i="305"/>
  <c r="O25" i="305" s="1"/>
  <c r="K23" i="305"/>
  <c r="K25" i="305" s="1"/>
  <c r="G23" i="305"/>
  <c r="G25" i="305" s="1"/>
  <c r="E23" i="305"/>
  <c r="N23" i="305"/>
  <c r="N25" i="305" s="1"/>
  <c r="J23" i="305"/>
  <c r="J25" i="305" s="1"/>
  <c r="F23" i="305"/>
  <c r="F25" i="305" s="1"/>
  <c r="M23" i="305"/>
  <c r="M25" i="305" s="1"/>
  <c r="C21" i="305"/>
  <c r="C24" i="305"/>
  <c r="E30" i="305"/>
  <c r="C30" i="305" s="1"/>
  <c r="K24" i="304"/>
  <c r="G31" i="304"/>
  <c r="G19" i="304"/>
  <c r="C14" i="304"/>
  <c r="F14" i="304" s="1"/>
  <c r="D22" i="304"/>
  <c r="K33" i="304"/>
  <c r="K35" i="304" s="1"/>
  <c r="M35" i="304" s="1"/>
  <c r="G18" i="304"/>
  <c r="G23" i="304"/>
  <c r="K64" i="304"/>
  <c r="C16" i="304"/>
  <c r="D16" i="304" s="1"/>
  <c r="F37" i="304"/>
  <c r="K78" i="304"/>
  <c r="F32" i="304"/>
  <c r="K47" i="304"/>
  <c r="K58" i="304"/>
  <c r="D15" i="304"/>
  <c r="D23" i="304"/>
  <c r="D56" i="304"/>
  <c r="C35" i="304" s="1"/>
  <c r="K30" i="304"/>
  <c r="M24" i="304"/>
  <c r="K43" i="304"/>
  <c r="K59" i="304"/>
  <c r="G15" i="304"/>
  <c r="D25" i="304"/>
  <c r="D26" i="304"/>
  <c r="D27" i="304"/>
  <c r="D28" i="304"/>
  <c r="D29" i="304"/>
  <c r="D30" i="304"/>
  <c r="D34" i="304"/>
  <c r="K46" i="304"/>
  <c r="K80" i="304"/>
  <c r="K82" i="304" s="1"/>
  <c r="G25" i="304"/>
  <c r="G27" i="304"/>
  <c r="F29" i="304"/>
  <c r="D32" i="304"/>
  <c r="A25" i="307" l="1"/>
  <c r="A26" i="307" s="1"/>
  <c r="A27" i="307" s="1"/>
  <c r="A28" i="307" s="1"/>
  <c r="C23" i="305"/>
  <c r="E25" i="305"/>
  <c r="C25" i="305" s="1"/>
  <c r="D14" i="304"/>
  <c r="C46" i="304"/>
  <c r="D46" i="304" s="1"/>
  <c r="F16" i="304"/>
  <c r="K60" i="304"/>
  <c r="K62" i="304" s="1"/>
  <c r="M30" i="304"/>
  <c r="G36" i="304"/>
  <c r="G38" i="304" s="1"/>
  <c r="K38" i="304"/>
  <c r="F35" i="304"/>
  <c r="D35" i="304"/>
  <c r="A29" i="307" l="1"/>
  <c r="A30" i="307" s="1"/>
  <c r="A31" i="307" s="1"/>
  <c r="A32" i="307" s="1"/>
  <c r="A33" i="307" l="1"/>
  <c r="A34" i="307" s="1"/>
  <c r="A35" i="307" s="1"/>
  <c r="A36" i="307" s="1"/>
  <c r="D20" i="304"/>
  <c r="K65" i="304"/>
  <c r="K68" i="304" s="1"/>
  <c r="K70" i="304" s="1"/>
  <c r="F20" i="304"/>
  <c r="K13" i="304"/>
  <c r="M13" i="304" s="1"/>
  <c r="A37" i="307" l="1"/>
  <c r="A38" i="307" s="1"/>
  <c r="A39" i="307" s="1"/>
  <c r="A40" i="307" s="1"/>
  <c r="D37" i="307"/>
  <c r="A41" i="307" l="1"/>
  <c r="A42" i="307" s="1"/>
  <c r="A43" i="307" s="1"/>
  <c r="A44" i="307" s="1"/>
  <c r="D41" i="307"/>
  <c r="K45" i="304"/>
  <c r="D33" i="304"/>
  <c r="F33" i="304"/>
  <c r="C17" i="304"/>
  <c r="C9" i="304"/>
  <c r="A45" i="307" l="1"/>
  <c r="A46" i="307" s="1"/>
  <c r="A47" i="307" s="1"/>
  <c r="A48" i="307" s="1"/>
  <c r="D45" i="307"/>
  <c r="D17" i="304"/>
  <c r="F17" i="304"/>
  <c r="K52" i="304"/>
  <c r="A49" i="307" l="1"/>
  <c r="A50" i="307" s="1"/>
  <c r="A51" i="307" s="1"/>
  <c r="A52" i="307" s="1"/>
  <c r="D49" i="307"/>
  <c r="A53" i="307" l="1"/>
  <c r="A54" i="307" s="1"/>
  <c r="A55" i="307" s="1"/>
  <c r="A56" i="307" s="1"/>
  <c r="D53" i="307"/>
  <c r="D24" i="304"/>
  <c r="K42" i="304"/>
  <c r="F24" i="304"/>
  <c r="A57" i="307" l="1"/>
  <c r="D57" i="307"/>
  <c r="K39" i="304" l="1"/>
  <c r="K48" i="304" s="1"/>
  <c r="K50" i="304" s="1"/>
  <c r="K54" i="304" s="1"/>
  <c r="D21" i="304"/>
  <c r="F21" i="304"/>
  <c r="F36" i="304" s="1"/>
  <c r="C36" i="304"/>
  <c r="K55" i="304" l="1"/>
  <c r="C38" i="304"/>
  <c r="F38" i="304"/>
  <c r="H36" i="304"/>
  <c r="C45" i="304"/>
  <c r="D36" i="304"/>
  <c r="C44" i="304" s="1"/>
  <c r="D44" i="304" s="1"/>
  <c r="D45" i="304" l="1"/>
  <c r="D47" i="304" s="1"/>
  <c r="C47" i="304"/>
  <c r="H38" i="304"/>
  <c r="C20" i="303" l="1"/>
  <c r="C19" i="303" l="1"/>
  <c r="O31" i="302" l="1"/>
  <c r="P31" i="302" s="1"/>
  <c r="O30" i="302"/>
  <c r="P30" i="302" s="1"/>
  <c r="O29" i="302"/>
  <c r="P29" i="302" s="1"/>
  <c r="O28" i="302"/>
  <c r="P28" i="302" s="1"/>
  <c r="O27" i="302"/>
  <c r="P27" i="302" s="1"/>
  <c r="D33" i="302"/>
  <c r="E33" i="302"/>
  <c r="F33" i="302"/>
  <c r="G33" i="302"/>
  <c r="H33" i="302"/>
  <c r="I33" i="302"/>
  <c r="J33" i="302"/>
  <c r="K33" i="302"/>
  <c r="L33" i="302"/>
  <c r="M33" i="302"/>
  <c r="N33" i="302"/>
  <c r="O32" i="302" l="1"/>
  <c r="P32" i="302" s="1"/>
  <c r="P33" i="302" s="1"/>
  <c r="C33" i="302"/>
  <c r="O33" i="302" l="1"/>
  <c r="D48" i="54" l="1"/>
  <c r="Q23" i="54" l="1"/>
  <c r="M24" i="54" s="1"/>
  <c r="O24" i="54" l="1"/>
  <c r="H24" i="54"/>
  <c r="G24" i="54"/>
  <c r="L24" i="54"/>
  <c r="N24" i="54"/>
  <c r="E24" i="54"/>
  <c r="J24" i="54"/>
  <c r="I24" i="54"/>
  <c r="K24" i="54"/>
  <c r="F24" i="54"/>
  <c r="P24" i="54"/>
  <c r="Q24" i="54" l="1"/>
  <c r="C21" i="303" l="1"/>
  <c r="A2" i="54"/>
  <c r="A3" i="54"/>
  <c r="A1" i="54"/>
  <c r="A2" i="215"/>
  <c r="A3" i="215"/>
  <c r="A1" i="215"/>
  <c r="A2" i="189"/>
  <c r="A3" i="189"/>
  <c r="A1" i="189"/>
  <c r="A2" i="5"/>
  <c r="A3" i="5"/>
  <c r="A1" i="5"/>
  <c r="A10" i="303" l="1"/>
  <c r="A11" i="303" s="1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D31" i="54" l="1"/>
  <c r="D27" i="54"/>
  <c r="D19" i="54"/>
  <c r="D15" i="54"/>
  <c r="D23" i="54" s="1"/>
  <c r="D40" i="54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P15" i="302"/>
  <c r="P14" i="302"/>
  <c r="P13" i="302"/>
  <c r="P12" i="302"/>
  <c r="P11" i="302"/>
  <c r="P10" i="302"/>
  <c r="P9" i="302"/>
  <c r="P8" i="302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P6" i="302" l="1"/>
  <c r="P24" i="302" s="1"/>
  <c r="O24" i="302"/>
  <c r="C16" i="215" l="1"/>
  <c r="C15" i="189" l="1"/>
  <c r="C31" i="54" l="1"/>
  <c r="B43" i="54"/>
  <c r="D56" i="54"/>
  <c r="B55" i="54"/>
  <c r="D52" i="54"/>
  <c r="B51" i="54"/>
  <c r="D44" i="54"/>
  <c r="C19" i="54"/>
  <c r="C15" i="54"/>
  <c r="C23" i="54" s="1"/>
  <c r="Q27" i="54" l="1"/>
  <c r="N28" i="54" s="1"/>
  <c r="Q31" i="54"/>
  <c r="P32" i="54" s="1"/>
  <c r="K28" i="54" l="1"/>
  <c r="O28" i="54"/>
  <c r="E28" i="54"/>
  <c r="E32" i="54"/>
  <c r="G32" i="54"/>
  <c r="H32" i="54"/>
  <c r="I28" i="54"/>
  <c r="F28" i="54"/>
  <c r="K32" i="54"/>
  <c r="F32" i="54"/>
  <c r="M28" i="54"/>
  <c r="M32" i="54"/>
  <c r="J32" i="54"/>
  <c r="O32" i="54"/>
  <c r="L32" i="54"/>
  <c r="N32" i="54"/>
  <c r="I32" i="54"/>
  <c r="G28" i="54"/>
  <c r="P28" i="54"/>
  <c r="L28" i="54"/>
  <c r="H28" i="54"/>
  <c r="J28" i="54"/>
  <c r="Q32" i="54" l="1"/>
  <c r="Q28" i="54"/>
  <c r="B39" i="54" l="1"/>
  <c r="B35" i="54"/>
  <c r="A12" i="120" l="1"/>
  <c r="A13" i="120" s="1"/>
  <c r="A14" i="120" s="1"/>
  <c r="A15" i="120" s="1"/>
  <c r="A16" i="120" s="1"/>
  <c r="A17" i="120" s="1"/>
  <c r="A18" i="120" s="1"/>
  <c r="A19" i="120" s="1"/>
  <c r="C24" i="120" l="1"/>
  <c r="C14" i="120"/>
  <c r="C28" i="120" l="1"/>
  <c r="C18" i="120"/>
  <c r="A11" i="54" l="1"/>
  <c r="A12" i="54" s="1"/>
  <c r="A13" i="54" l="1"/>
  <c r="A14" i="54" s="1"/>
  <c r="A15" i="54" s="1"/>
  <c r="A16" i="54" s="1"/>
  <c r="A17" i="54" l="1"/>
  <c r="A18" i="54" s="1"/>
  <c r="A19" i="54" s="1"/>
  <c r="A20" i="54" s="1"/>
  <c r="A21" i="54" s="1"/>
  <c r="A22" i="54" s="1"/>
  <c r="A23" i="54" s="1"/>
  <c r="A24" i="54" l="1"/>
  <c r="A25" i="54" l="1"/>
  <c r="A26" i="54" s="1"/>
  <c r="A27" i="54" s="1"/>
  <c r="A28" i="54" s="1"/>
  <c r="A29" i="54" s="1"/>
  <c r="A30" i="54" s="1"/>
  <c r="A31" i="54" s="1"/>
  <c r="A32" i="54" s="1"/>
  <c r="A33" i="54" l="1"/>
  <c r="A34" i="54" s="1"/>
  <c r="A35" i="54" s="1"/>
  <c r="A36" i="54" s="1"/>
  <c r="A37" i="54" l="1"/>
  <c r="A38" i="54" s="1"/>
  <c r="A39" i="54" s="1"/>
  <c r="A40" i="54" s="1"/>
  <c r="D37" i="54"/>
  <c r="A41" i="54" l="1"/>
  <c r="A42" i="54" s="1"/>
  <c r="A43" i="54" s="1"/>
  <c r="A44" i="54" s="1"/>
  <c r="D41" i="54"/>
  <c r="A45" i="54" l="1"/>
  <c r="A46" i="54" s="1"/>
  <c r="D45" i="54"/>
  <c r="A47" i="54" l="1"/>
  <c r="A48" i="54" s="1"/>
  <c r="A49" i="54" l="1"/>
  <c r="A50" i="54" s="1"/>
  <c r="A51" i="54" s="1"/>
  <c r="A52" i="54" s="1"/>
  <c r="A53" i="54" s="1"/>
  <c r="A54" i="54" s="1"/>
  <c r="A55" i="54" s="1"/>
  <c r="A56" i="54" s="1"/>
  <c r="D49" i="54"/>
  <c r="D53" i="54"/>
  <c r="A57" i="54"/>
  <c r="D57" i="54"/>
  <c r="C15" i="5" l="1"/>
  <c r="Q19" i="54" l="1"/>
  <c r="Q11" i="54"/>
  <c r="Q15" i="54"/>
  <c r="J12" i="54" l="1"/>
  <c r="L20" i="54"/>
  <c r="N20" i="54"/>
  <c r="L12" i="54"/>
  <c r="P12" i="54"/>
  <c r="H12" i="54"/>
  <c r="K12" i="54"/>
  <c r="N12" i="54"/>
  <c r="G12" i="54"/>
  <c r="I20" i="54"/>
  <c r="L16" i="54"/>
  <c r="H16" i="54"/>
  <c r="N16" i="54"/>
  <c r="J16" i="54"/>
  <c r="M16" i="54"/>
  <c r="O16" i="54"/>
  <c r="K16" i="54"/>
  <c r="P16" i="54"/>
  <c r="E16" i="54"/>
  <c r="I16" i="54"/>
  <c r="F16" i="54"/>
  <c r="J20" i="54"/>
  <c r="O12" i="54"/>
  <c r="F20" i="54"/>
  <c r="F12" i="54"/>
  <c r="H20" i="54"/>
  <c r="E12" i="54"/>
  <c r="M20" i="54"/>
  <c r="P20" i="54"/>
  <c r="G16" i="54"/>
  <c r="G20" i="54"/>
  <c r="K20" i="54"/>
  <c r="E20" i="54"/>
  <c r="O20" i="54"/>
  <c r="I12" i="54"/>
  <c r="M12" i="54"/>
  <c r="Q16" i="54" l="1"/>
  <c r="Q12" i="54"/>
  <c r="Q20" i="54"/>
  <c r="O24" i="303" l="1"/>
  <c r="E24" i="303"/>
  <c r="L23" i="303"/>
  <c r="M23" i="303"/>
  <c r="J24" i="303"/>
  <c r="F24" i="303"/>
  <c r="K23" i="303"/>
  <c r="G23" i="303"/>
  <c r="I24" i="303"/>
  <c r="C10" i="303"/>
  <c r="F29" i="303" s="1"/>
  <c r="C9" i="303"/>
  <c r="P28" i="303" s="1"/>
  <c r="L24" i="303"/>
  <c r="N23" i="303"/>
  <c r="N24" i="303"/>
  <c r="H23" i="303"/>
  <c r="H24" i="303"/>
  <c r="M24" i="303"/>
  <c r="O23" i="303"/>
  <c r="F23" i="303" l="1"/>
  <c r="F25" i="303" s="1"/>
  <c r="G24" i="303"/>
  <c r="G25" i="303" s="1"/>
  <c r="J23" i="303"/>
  <c r="J25" i="303" s="1"/>
  <c r="E23" i="303"/>
  <c r="E25" i="303" s="1"/>
  <c r="K24" i="303"/>
  <c r="K25" i="303" s="1"/>
  <c r="I23" i="303"/>
  <c r="P24" i="303"/>
  <c r="I25" i="303"/>
  <c r="L25" i="303"/>
  <c r="G28" i="303"/>
  <c r="O25" i="303"/>
  <c r="N28" i="303"/>
  <c r="I29" i="303"/>
  <c r="O28" i="303"/>
  <c r="K28" i="303"/>
  <c r="M25" i="303"/>
  <c r="N29" i="303"/>
  <c r="M29" i="303"/>
  <c r="P23" i="303"/>
  <c r="L29" i="303"/>
  <c r="C11" i="303"/>
  <c r="E28" i="303"/>
  <c r="E29" i="303"/>
  <c r="G29" i="303"/>
  <c r="L28" i="303"/>
  <c r="H25" i="303"/>
  <c r="J29" i="303"/>
  <c r="F28" i="303"/>
  <c r="F30" i="303" s="1"/>
  <c r="O29" i="303"/>
  <c r="H29" i="303"/>
  <c r="K29" i="303"/>
  <c r="I28" i="303"/>
  <c r="H28" i="303"/>
  <c r="N25" i="303"/>
  <c r="M28" i="303"/>
  <c r="J28" i="303"/>
  <c r="P29" i="303"/>
  <c r="P30" i="303" s="1"/>
  <c r="C23" i="303" l="1"/>
  <c r="C24" i="303"/>
  <c r="M30" i="303"/>
  <c r="G30" i="303"/>
  <c r="J30" i="303"/>
  <c r="F13" i="120"/>
  <c r="H30" i="303"/>
  <c r="I30" i="303"/>
  <c r="P25" i="303"/>
  <c r="O30" i="303"/>
  <c r="C29" i="303"/>
  <c r="C25" i="303"/>
  <c r="E30" i="303"/>
  <c r="C28" i="303"/>
  <c r="L30" i="303"/>
  <c r="K30" i="303"/>
  <c r="N30" i="303"/>
  <c r="C30" i="303" l="1"/>
  <c r="G14" i="120" l="1"/>
  <c r="G18" i="120" s="1"/>
  <c r="G13" i="189" l="1"/>
  <c r="G15" i="189" s="1"/>
  <c r="G13" i="5"/>
  <c r="G15" i="5"/>
  <c r="Q48" i="54" s="1"/>
  <c r="E49" i="54" s="1"/>
  <c r="P49" i="54" l="1"/>
  <c r="G49" i="54"/>
  <c r="I49" i="54"/>
  <c r="F49" i="54"/>
  <c r="O49" i="54"/>
  <c r="M49" i="54"/>
  <c r="H49" i="54"/>
  <c r="L49" i="54"/>
  <c r="N49" i="54"/>
  <c r="K49" i="54"/>
  <c r="J49" i="54"/>
  <c r="Q49" i="54" l="1"/>
  <c r="C15" i="303" l="1"/>
  <c r="C17" i="303" l="1"/>
  <c r="I14" i="120" l="1"/>
  <c r="I18" i="120" s="1"/>
  <c r="F16" i="215" s="1"/>
  <c r="F16" i="120"/>
  <c r="E14" i="120" l="1"/>
  <c r="E18" i="120" s="1"/>
  <c r="E13" i="5" s="1"/>
  <c r="E15" i="5" s="1"/>
  <c r="Q40" i="54" s="1"/>
  <c r="G16" i="215"/>
  <c r="I13" i="5"/>
  <c r="I15" i="5" s="1"/>
  <c r="Q56" i="54" s="1"/>
  <c r="M57" i="54" s="1"/>
  <c r="D14" i="120"/>
  <c r="D18" i="120" s="1"/>
  <c r="M14" i="120"/>
  <c r="M18" i="120" s="1"/>
  <c r="E13" i="189" l="1"/>
  <c r="E15" i="189" s="1"/>
  <c r="E57" i="54"/>
  <c r="G57" i="54"/>
  <c r="O57" i="54"/>
  <c r="I57" i="54"/>
  <c r="N57" i="54"/>
  <c r="K57" i="54"/>
  <c r="P57" i="54"/>
  <c r="L57" i="54"/>
  <c r="J57" i="54"/>
  <c r="H57" i="54"/>
  <c r="F57" i="54"/>
  <c r="D13" i="5"/>
  <c r="D15" i="5" s="1"/>
  <c r="Q36" i="54" s="1"/>
  <c r="D13" i="189"/>
  <c r="D15" i="189" s="1"/>
  <c r="J41" i="54"/>
  <c r="G41" i="54"/>
  <c r="O41" i="54"/>
  <c r="M41" i="54"/>
  <c r="E41" i="54"/>
  <c r="L41" i="54"/>
  <c r="P41" i="54"/>
  <c r="H41" i="54"/>
  <c r="I41" i="54"/>
  <c r="F41" i="54"/>
  <c r="K41" i="54"/>
  <c r="N41" i="54"/>
  <c r="H14" i="120"/>
  <c r="H18" i="120" s="1"/>
  <c r="L14" i="120"/>
  <c r="L18" i="120" s="1"/>
  <c r="Q57" i="54" l="1"/>
  <c r="D16" i="215"/>
  <c r="H13" i="5"/>
  <c r="H15" i="5" s="1"/>
  <c r="Q52" i="54" s="1"/>
  <c r="E16" i="215"/>
  <c r="Q41" i="54"/>
  <c r="I37" i="54"/>
  <c r="K37" i="54"/>
  <c r="J37" i="54"/>
  <c r="M37" i="54"/>
  <c r="G37" i="54"/>
  <c r="N37" i="54"/>
  <c r="O37" i="54"/>
  <c r="H37" i="54"/>
  <c r="P37" i="54"/>
  <c r="E37" i="54"/>
  <c r="L37" i="54"/>
  <c r="F37" i="54"/>
  <c r="Q37" i="54" l="1"/>
  <c r="H53" i="54"/>
  <c r="L53" i="54"/>
  <c r="N53" i="54"/>
  <c r="G53" i="54"/>
  <c r="F53" i="54"/>
  <c r="O53" i="54"/>
  <c r="E53" i="54"/>
  <c r="J53" i="54"/>
  <c r="I53" i="54"/>
  <c r="K53" i="54"/>
  <c r="M53" i="54"/>
  <c r="P53" i="54"/>
  <c r="Q53" i="54" l="1"/>
  <c r="F12" i="120"/>
  <c r="F14" i="120" s="1"/>
  <c r="F18" i="120" s="1"/>
  <c r="K14" i="120"/>
  <c r="K18" i="120" s="1"/>
  <c r="F13" i="189" l="1"/>
  <c r="F15" i="189" s="1"/>
  <c r="F13" i="5"/>
  <c r="F15" i="5" s="1"/>
  <c r="Q44" i="54" s="1"/>
  <c r="H45" i="54" l="1"/>
  <c r="L45" i="54"/>
  <c r="K45" i="54"/>
  <c r="O45" i="54"/>
  <c r="N45" i="54"/>
  <c r="J45" i="54"/>
  <c r="I45" i="54"/>
  <c r="F45" i="54"/>
  <c r="E45" i="54"/>
  <c r="P45" i="54"/>
  <c r="M45" i="54"/>
  <c r="G45" i="54"/>
  <c r="Q45" i="54" l="1"/>
</calcChain>
</file>

<file path=xl/sharedStrings.xml><?xml version="1.0" encoding="utf-8"?>
<sst xmlns="http://schemas.openxmlformats.org/spreadsheetml/2006/main" count="667" uniqueCount="274">
  <si>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</si>
  <si>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</si>
  <si>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</si>
  <si>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</si>
  <si>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</si>
  <si>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</si>
  <si>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</si>
  <si>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</si>
  <si>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</si>
  <si>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</si>
  <si>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</si>
  <si>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</si>
  <si>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</si>
  <si>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</si>
  <si>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</si>
  <si>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</si>
  <si>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</si>
  <si>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</si>
  <si>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</si>
  <si>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</si>
  <si>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</si>
  <si>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</si>
  <si>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</si>
  <si>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</si>
  <si>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</si>
  <si>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</si>
  <si>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</si>
  <si>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</si>
  <si>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</si>
  <si>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</si>
  <si>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</si>
  <si>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</si>
  <si>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</si>
  <si>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</si>
  <si>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</si>
  <si>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</si>
  <si>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</si>
  <si>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</si>
  <si>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</si>
  <si>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</si>
  <si>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</si>
  <si>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</si>
  <si>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</si>
  <si>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</si>
  <si>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</si>
  <si>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</si>
  <si>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</si>
  <si>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</si>
  <si>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</si>
  <si>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</si>
  <si>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</si>
  <si>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</si>
  <si>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</si>
  <si>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</si>
  <si>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</si>
  <si>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</si>
  <si>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</si>
  <si>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</si>
  <si>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</si>
  <si>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</si>
  <si>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</si>
  <si>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</si>
  <si>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</si>
  <si>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</si>
  <si>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</si>
  <si>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</si>
  <si>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</si>
  <si>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</si>
  <si>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</si>
  <si>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</si>
  <si>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</si>
  <si>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</si>
  <si>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</si>
  <si>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</si>
  <si>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</si>
  <si>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</si>
  <si>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</si>
  <si>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</si>
  <si>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</si>
  <si>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</si>
  <si>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</si>
  <si>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</si>
  <si>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Electric Customers by Rate Schedule</t>
  </si>
  <si>
    <t>Rate Class</t>
  </si>
  <si>
    <t>Total Revenue</t>
  </si>
  <si>
    <t>Electric Decoupling Mechanism (Schedule 142)</t>
  </si>
  <si>
    <t>Work Paper</t>
  </si>
  <si>
    <t>Net Revenue</t>
  </si>
  <si>
    <t>Net Delivery Revenue</t>
  </si>
  <si>
    <t>11 &amp; 25</t>
  </si>
  <si>
    <t xml:space="preserve">Weather-Normalized kWh Sales </t>
  </si>
  <si>
    <t xml:space="preserve">Demand Charge Revenue </t>
  </si>
  <si>
    <t>PC-3</t>
  </si>
  <si>
    <t>NRG</t>
  </si>
  <si>
    <t>DEM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</si>
  <si>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</si>
  <si>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</si>
  <si>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</si>
  <si>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</si>
  <si>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</si>
  <si>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</si>
  <si>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</si>
  <si>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kWh</t>
  </si>
  <si>
    <t>Demand</t>
  </si>
  <si>
    <t>Total Revenue Requirement</t>
  </si>
  <si>
    <t xml:space="preserve">Revenues Other Than Rate Sch. Rev. </t>
  </si>
  <si>
    <t>Fixed PCA Costs</t>
  </si>
  <si>
    <t>Variable PCA Costs</t>
  </si>
  <si>
    <t>Total PCA Costs</t>
  </si>
  <si>
    <t xml:space="preserve">Special </t>
  </si>
  <si>
    <t>Contracts</t>
  </si>
  <si>
    <t>Special Contracts</t>
  </si>
  <si>
    <t>40*</t>
  </si>
  <si>
    <t>*SCHEDULE 40 Reclass</t>
  </si>
  <si>
    <t xml:space="preserve">Total 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</si>
  <si>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</si>
  <si>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</si>
  <si>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</si>
  <si>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</si>
  <si>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</si>
  <si>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</si>
  <si>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</si>
  <si>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</si>
  <si>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</si>
  <si>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</si>
  <si>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</si>
  <si>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</si>
  <si>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</si>
  <si>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</si>
  <si>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</si>
  <si>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</si>
  <si>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</si>
  <si>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</si>
  <si>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</si>
  <si>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</si>
  <si>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</si>
  <si>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</si>
  <si>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</si>
  <si>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</si>
  <si>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</si>
  <si>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</si>
  <si>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</si>
  <si>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</si>
  <si>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</si>
  <si>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</si>
  <si>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</si>
  <si>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</si>
  <si>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</si>
  <si>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</si>
  <si>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</si>
  <si>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</si>
  <si>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</si>
  <si>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</si>
  <si>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t>Wheeling</t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</si>
  <si>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</si>
  <si>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</si>
  <si>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</si>
  <si>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</si>
  <si>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</si>
  <si>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</si>
  <si>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</si>
  <si>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</si>
  <si>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</si>
  <si>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</si>
  <si>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</si>
  <si>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</si>
  <si>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</si>
  <si>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</si>
  <si>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</si>
  <si>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</si>
  <si>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</si>
  <si>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</si>
  <si>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t>Less: Production O&amp;M</t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</si>
  <si>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</si>
  <si>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</si>
  <si>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</si>
  <si>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</si>
  <si>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</si>
  <si>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</si>
  <si>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</si>
  <si>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</si>
  <si>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</si>
  <si>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</si>
  <si>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</si>
  <si>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</si>
  <si>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</si>
  <si>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</si>
  <si>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</si>
  <si>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</si>
  <si>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</si>
  <si>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</si>
  <si>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</si>
  <si>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</si>
  <si>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</si>
  <si>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</si>
  <si>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</si>
  <si>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</si>
  <si>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</si>
  <si>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</si>
  <si>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</si>
  <si>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</si>
  <si>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</si>
  <si>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</si>
  <si>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</si>
  <si>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</si>
  <si>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</si>
  <si>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</si>
  <si>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</si>
  <si>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</si>
  <si>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</si>
  <si>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</si>
  <si>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</si>
  <si>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</si>
  <si>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</si>
  <si>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</si>
  <si>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</si>
  <si>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</si>
  <si>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</si>
  <si>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</si>
  <si>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</si>
  <si>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</si>
  <si>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</si>
  <si>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</si>
  <si>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</si>
  <si>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</si>
  <si>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</si>
  <si>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</si>
  <si>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</si>
  <si>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</si>
  <si>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</si>
  <si>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</si>
  <si>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</si>
  <si>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JAP-11 Page 1</t>
  </si>
  <si>
    <t>JAP-11 Page 2</t>
  </si>
  <si>
    <t>Exhibit JAP-6</t>
  </si>
  <si>
    <t>SCH_24EC</t>
  </si>
  <si>
    <t>SCH_25EC</t>
  </si>
  <si>
    <t>SCH_26EC</t>
  </si>
  <si>
    <t>SCH_31EC</t>
  </si>
  <si>
    <t>SCH_31EI</t>
  </si>
  <si>
    <t>EXH. SEF-23.01 Page 1 of 1</t>
  </si>
  <si>
    <t>Amounts in bold and italics are different from September  17, 2019 Supplemental filing.</t>
  </si>
  <si>
    <t xml:space="preserve">Net of tax rate of return </t>
  </si>
  <si>
    <t>Test Year Ended December 31, 2018</t>
  </si>
  <si>
    <t>501-Steam Fuel Incl Reg Amort</t>
  </si>
  <si>
    <t>555-Purchased power Incl Reg Amort</t>
  </si>
  <si>
    <t>547-Fuel Incl Reg Amort</t>
  </si>
  <si>
    <t>565-Wheeling Incl Reg Amort</t>
  </si>
  <si>
    <t>Amortization  - Reg Assets - Non PC Only</t>
  </si>
  <si>
    <t>Current:</t>
  </si>
  <si>
    <t>Proposed:</t>
  </si>
  <si>
    <t>Corrected</t>
  </si>
  <si>
    <t>Regulatory Assets</t>
  </si>
  <si>
    <t>Transmission Rate Base</t>
  </si>
  <si>
    <t>Production Rate Base</t>
  </si>
  <si>
    <t>2019 General Rate Case (GRC) - Revised A-1 filing</t>
  </si>
  <si>
    <t>Proposed Effective December 1, 2020</t>
  </si>
  <si>
    <t>ELECTRIC COST OF SERVICE SUMMARY</t>
  </si>
  <si>
    <t>UE-190529 Adjusted Test Year Twelve Months ended December 2018 @ Proforma Rev Requirement</t>
  </si>
  <si>
    <t>Delivery Costs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</si>
  <si>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</si>
  <si>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</si>
  <si>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</si>
  <si>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</si>
  <si>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</si>
  <si>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</si>
  <si>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</si>
  <si>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</si>
  <si>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</si>
  <si>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Special Contract</t>
  </si>
  <si>
    <t>High Volt 46/49</t>
  </si>
  <si>
    <t>Choice/Retail Wheeling</t>
  </si>
  <si>
    <t>Lighting 50-59</t>
  </si>
  <si>
    <t>Firm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</si>
</sst>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sz val="11"/>
      <name val="Calibri"/>
      <family val="2"/>
      <scheme val="minor"/>
    </font>
    <font>
      <u/>
      <sz val="8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sz val="8"/>
      <color rgb="FF00808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008080"/>
      <name val="Arial"/>
      <family val="2"/>
    </font>
    <font>
      <sz val="11"/>
      <color rgb="FF006100"/>
      <name val="Calibri"/>
      <family val="2"/>
      <scheme val="minor"/>
    </font>
    <font>
      <sz val="8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21" fillId="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Font="1" applyFill="1" applyAlignment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41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 wrapText="1"/>
    </xf>
    <xf numFmtId="165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Alignment="1"/>
    <xf numFmtId="168" fontId="2" fillId="0" borderId="0" xfId="0" applyNumberFormat="1" applyFont="1" applyFill="1" applyAlignment="1"/>
    <xf numFmtId="0" fontId="2" fillId="0" borderId="3" xfId="0" applyNumberFormat="1" applyFont="1" applyFill="1" applyBorder="1" applyAlignment="1"/>
    <xf numFmtId="168" fontId="2" fillId="0" borderId="3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 applyBorder="1"/>
    <xf numFmtId="165" fontId="6" fillId="0" borderId="0" xfId="0" applyNumberFormat="1" applyFont="1" applyFill="1"/>
    <xf numFmtId="165" fontId="2" fillId="0" borderId="3" xfId="0" applyNumberFormat="1" applyFont="1" applyFill="1" applyBorder="1"/>
    <xf numFmtId="165" fontId="2" fillId="0" borderId="2" xfId="0" applyNumberFormat="1" applyFont="1" applyFill="1" applyBorder="1"/>
    <xf numFmtId="167" fontId="6" fillId="0" borderId="0" xfId="0" applyNumberFormat="1" applyFont="1" applyFill="1"/>
    <xf numFmtId="0" fontId="8" fillId="0" borderId="0" xfId="0" applyFont="1" applyFill="1"/>
    <xf numFmtId="0" fontId="3" fillId="0" borderId="3" xfId="0" applyNumberFormat="1" applyFont="1" applyFill="1" applyBorder="1" applyAlignment="1">
      <alignment horizontal="center" wrapText="1"/>
    </xf>
    <xf numFmtId="165" fontId="3" fillId="0" borderId="0" xfId="0" quotePrefix="1" applyNumberFormat="1" applyFont="1" applyFill="1" applyAlignment="1">
      <alignment horizontal="left"/>
    </xf>
    <xf numFmtId="168" fontId="2" fillId="0" borderId="0" xfId="0" quotePrefix="1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165" fontId="2" fillId="0" borderId="3" xfId="0" quotePrefix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3" fontId="2" fillId="0" borderId="9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3" fontId="2" fillId="0" borderId="3" xfId="0" applyNumberFormat="1" applyFont="1" applyFill="1" applyBorder="1"/>
    <xf numFmtId="0" fontId="2" fillId="0" borderId="0" xfId="0" applyNumberFormat="1" applyFont="1" applyFill="1"/>
    <xf numFmtId="0" fontId="2" fillId="0" borderId="9" xfId="0" applyFont="1" applyFill="1" applyBorder="1"/>
    <xf numFmtId="0" fontId="9" fillId="0" borderId="0" xfId="0" applyFont="1" applyFill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10" fillId="0" borderId="0" xfId="0" applyFont="1" applyFill="1"/>
    <xf numFmtId="165" fontId="10" fillId="0" borderId="0" xfId="0" applyNumberFormat="1" applyFont="1" applyFill="1"/>
    <xf numFmtId="44" fontId="2" fillId="0" borderId="1" xfId="0" applyNumberFormat="1" applyFont="1" applyFill="1" applyBorder="1"/>
    <xf numFmtId="44" fontId="10" fillId="0" borderId="0" xfId="0" applyNumberFormat="1" applyFont="1" applyFill="1"/>
    <xf numFmtId="0" fontId="2" fillId="0" borderId="3" xfId="0" applyFont="1" applyFill="1" applyBorder="1" applyAlignment="1"/>
    <xf numFmtId="167" fontId="2" fillId="0" borderId="1" xfId="0" applyNumberFormat="1" applyFont="1" applyFill="1" applyBorder="1"/>
    <xf numFmtId="0" fontId="10" fillId="0" borderId="0" xfId="0" applyFont="1" applyFill="1" applyAlignment="1"/>
    <xf numFmtId="164" fontId="10" fillId="0" borderId="0" xfId="0" applyNumberFormat="1" applyFont="1" applyFill="1"/>
    <xf numFmtId="0" fontId="11" fillId="0" borderId="16" xfId="0" applyFont="1" applyFill="1" applyBorder="1" applyAlignment="1">
      <alignment horizontal="center"/>
    </xf>
    <xf numFmtId="165" fontId="11" fillId="0" borderId="0" xfId="0" applyNumberFormat="1" applyFont="1" applyFill="1"/>
    <xf numFmtId="174" fontId="1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174" fontId="13" fillId="0" borderId="12" xfId="0" applyNumberFormat="1" applyFont="1" applyFill="1" applyBorder="1" applyAlignment="1">
      <alignment horizontal="left"/>
    </xf>
    <xf numFmtId="0" fontId="13" fillId="0" borderId="13" xfId="0" applyNumberFormat="1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center"/>
    </xf>
    <xf numFmtId="174" fontId="11" fillId="0" borderId="20" xfId="0" applyNumberFormat="1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horizontal="center"/>
    </xf>
    <xf numFmtId="174" fontId="11" fillId="0" borderId="15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41" fontId="11" fillId="0" borderId="21" xfId="0" applyNumberFormat="1" applyFont="1" applyFill="1" applyBorder="1" applyAlignment="1"/>
    <xf numFmtId="0" fontId="11" fillId="0" borderId="22" xfId="0" applyNumberFormat="1" applyFont="1" applyFill="1" applyBorder="1" applyAlignment="1"/>
    <xf numFmtId="0" fontId="11" fillId="0" borderId="23" xfId="0" applyNumberFormat="1" applyFont="1" applyFill="1" applyBorder="1" applyAlignment="1">
      <alignment horizontal="right"/>
    </xf>
    <xf numFmtId="41" fontId="11" fillId="0" borderId="24" xfId="0" applyNumberFormat="1" applyFont="1" applyFill="1" applyBorder="1" applyAlignment="1"/>
    <xf numFmtId="0" fontId="13" fillId="0" borderId="0" xfId="0" applyFont="1" applyFill="1"/>
    <xf numFmtId="0" fontId="11" fillId="0" borderId="0" xfId="0" applyFont="1" applyFill="1"/>
    <xf numFmtId="0" fontId="14" fillId="0" borderId="25" xfId="3" applyFont="1" applyFill="1" applyBorder="1" applyAlignment="1">
      <alignment horizontal="centerContinuous"/>
    </xf>
    <xf numFmtId="0" fontId="14" fillId="0" borderId="1" xfId="3" applyFont="1" applyFill="1" applyBorder="1" applyAlignment="1">
      <alignment horizontal="centerContinuous"/>
    </xf>
    <xf numFmtId="0" fontId="14" fillId="0" borderId="26" xfId="3" applyFont="1" applyFill="1" applyBorder="1" applyAlignment="1">
      <alignment horizontal="centerContinuous"/>
    </xf>
    <xf numFmtId="0" fontId="15" fillId="0" borderId="0" xfId="0" applyFont="1"/>
    <xf numFmtId="0" fontId="1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165" fontId="2" fillId="0" borderId="9" xfId="0" applyNumberFormat="1" applyFont="1" applyFill="1" applyBorder="1"/>
    <xf numFmtId="0" fontId="16" fillId="0" borderId="12" xfId="0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/>
    <xf numFmtId="4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1" fillId="0" borderId="0" xfId="0" applyFont="1" applyFill="1" applyBorder="1"/>
    <xf numFmtId="0" fontId="11" fillId="0" borderId="16" xfId="0" applyFont="1" applyFill="1" applyBorder="1"/>
    <xf numFmtId="164" fontId="2" fillId="0" borderId="0" xfId="2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1" fillId="0" borderId="15" xfId="0" applyFont="1" applyFill="1" applyBorder="1"/>
    <xf numFmtId="164" fontId="11" fillId="0" borderId="1" xfId="0" applyNumberFormat="1" applyFont="1" applyFill="1" applyBorder="1"/>
    <xf numFmtId="165" fontId="11" fillId="0" borderId="17" xfId="0" applyNumberFormat="1" applyFont="1" applyFill="1" applyBorder="1"/>
    <xf numFmtId="165" fontId="2" fillId="0" borderId="0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16" fillId="0" borderId="15" xfId="0" applyFont="1" applyFill="1" applyBorder="1"/>
    <xf numFmtId="0" fontId="16" fillId="0" borderId="0" xfId="0" applyFont="1" applyFill="1" applyBorder="1" applyAlignment="1">
      <alignment horizontal="center"/>
    </xf>
    <xf numFmtId="164" fontId="11" fillId="0" borderId="16" xfId="0" applyNumberFormat="1" applyFont="1" applyFill="1" applyBorder="1"/>
    <xf numFmtId="41" fontId="11" fillId="0" borderId="0" xfId="0" applyNumberFormat="1" applyFont="1" applyFill="1"/>
    <xf numFmtId="0" fontId="2" fillId="0" borderId="0" xfId="0" applyNumberFormat="1" applyFont="1" applyFill="1" applyBorder="1" applyAlignment="1"/>
    <xf numFmtId="170" fontId="11" fillId="0" borderId="15" xfId="0" applyNumberFormat="1" applyFont="1" applyFill="1" applyBorder="1" applyAlignment="1">
      <alignment horizontal="left"/>
    </xf>
    <xf numFmtId="164" fontId="11" fillId="0" borderId="0" xfId="0" applyNumberFormat="1" applyFont="1" applyFill="1" applyBorder="1"/>
    <xf numFmtId="43" fontId="11" fillId="0" borderId="0" xfId="0" applyNumberFormat="1" applyFont="1" applyFill="1"/>
    <xf numFmtId="0" fontId="2" fillId="0" borderId="0" xfId="0" applyNumberFormat="1" applyFont="1" applyFill="1" applyBorder="1" applyAlignment="1">
      <alignment horizontal="left" indent="1"/>
    </xf>
    <xf numFmtId="164" fontId="11" fillId="0" borderId="9" xfId="0" applyNumberFormat="1" applyFont="1" applyFill="1" applyBorder="1"/>
    <xf numFmtId="5" fontId="11" fillId="0" borderId="1" xfId="0" applyNumberFormat="1" applyFont="1" applyFill="1" applyBorder="1"/>
    <xf numFmtId="0" fontId="2" fillId="0" borderId="0" xfId="0" applyNumberFormat="1" applyFont="1" applyFill="1" applyBorder="1" applyAlignment="1">
      <alignment vertical="top"/>
    </xf>
    <xf numFmtId="0" fontId="2" fillId="0" borderId="0" xfId="0" quotePrefix="1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 indent="1"/>
    </xf>
    <xf numFmtId="165" fontId="2" fillId="0" borderId="18" xfId="0" applyNumberFormat="1" applyFont="1" applyFill="1" applyBorder="1" applyAlignment="1">
      <alignment vertical="center"/>
    </xf>
    <xf numFmtId="169" fontId="2" fillId="0" borderId="19" xfId="0" applyNumberFormat="1" applyFont="1" applyFill="1" applyBorder="1" applyAlignment="1">
      <alignment vertical="center"/>
    </xf>
    <xf numFmtId="169" fontId="2" fillId="0" borderId="9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172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/>
    <xf numFmtId="165" fontId="2" fillId="0" borderId="9" xfId="0" applyNumberFormat="1" applyFont="1" applyFill="1" applyBorder="1" applyAlignment="1"/>
    <xf numFmtId="173" fontId="2" fillId="0" borderId="0" xfId="0" applyNumberFormat="1" applyFont="1" applyFill="1" applyBorder="1" applyAlignment="1"/>
    <xf numFmtId="44" fontId="2" fillId="0" borderId="0" xfId="0" applyNumberFormat="1" applyFont="1" applyFill="1" applyBorder="1" applyAlignment="1"/>
    <xf numFmtId="43" fontId="2" fillId="0" borderId="0" xfId="0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/>
    <xf numFmtId="172" fontId="9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169" fontId="2" fillId="0" borderId="3" xfId="0" applyNumberFormat="1" applyFont="1" applyFill="1" applyBorder="1" applyAlignment="1"/>
    <xf numFmtId="0" fontId="15" fillId="0" borderId="0" xfId="0" applyFont="1" applyFill="1"/>
    <xf numFmtId="5" fontId="11" fillId="0" borderId="0" xfId="0" applyNumberFormat="1" applyFont="1" applyFill="1" applyBorder="1"/>
    <xf numFmtId="174" fontId="11" fillId="0" borderId="0" xfId="0" applyNumberFormat="1" applyFont="1" applyFill="1" applyBorder="1" applyAlignment="1">
      <alignment horizontal="left"/>
    </xf>
    <xf numFmtId="0" fontId="11" fillId="0" borderId="9" xfId="0" applyFont="1" applyFill="1" applyBorder="1"/>
    <xf numFmtId="5" fontId="11" fillId="0" borderId="9" xfId="0" applyNumberFormat="1" applyFont="1" applyFill="1" applyBorder="1"/>
    <xf numFmtId="0" fontId="11" fillId="0" borderId="15" xfId="0" applyFont="1" applyFill="1" applyBorder="1" applyAlignment="1">
      <alignment horizontal="right"/>
    </xf>
    <xf numFmtId="165" fontId="11" fillId="0" borderId="2" xfId="0" applyNumberFormat="1" applyFont="1" applyFill="1" applyBorder="1"/>
    <xf numFmtId="2" fontId="15" fillId="0" borderId="0" xfId="0" applyNumberFormat="1" applyFont="1" applyFill="1"/>
    <xf numFmtId="41" fontId="11" fillId="0" borderId="0" xfId="0" applyNumberFormat="1" applyFont="1" applyFill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4" xfId="0" applyFont="1" applyFill="1" applyBorder="1"/>
    <xf numFmtId="165" fontId="17" fillId="0" borderId="0" xfId="0" applyNumberFormat="1" applyFont="1" applyFill="1"/>
    <xf numFmtId="41" fontId="17" fillId="0" borderId="0" xfId="0" applyNumberFormat="1" applyFont="1" applyFill="1"/>
    <xf numFmtId="10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171" fontId="17" fillId="0" borderId="3" xfId="0" applyNumberFormat="1" applyFont="1" applyFill="1" applyBorder="1" applyAlignment="1"/>
    <xf numFmtId="41" fontId="17" fillId="0" borderId="18" xfId="0" applyNumberFormat="1" applyFont="1" applyFill="1" applyBorder="1" applyAlignment="1"/>
    <xf numFmtId="41" fontId="17" fillId="0" borderId="16" xfId="0" applyNumberFormat="1" applyFont="1" applyFill="1" applyBorder="1" applyAlignment="1"/>
    <xf numFmtId="41" fontId="17" fillId="0" borderId="1" xfId="0" applyNumberFormat="1" applyFont="1" applyFill="1" applyBorder="1"/>
    <xf numFmtId="164" fontId="17" fillId="0" borderId="0" xfId="0" applyNumberFormat="1" applyFont="1" applyFill="1" applyBorder="1"/>
    <xf numFmtId="164" fontId="17" fillId="0" borderId="9" xfId="0" applyNumberFormat="1" applyFont="1" applyFill="1" applyBorder="1"/>
    <xf numFmtId="164" fontId="17" fillId="0" borderId="1" xfId="0" applyNumberFormat="1" applyFont="1" applyFill="1" applyBorder="1"/>
    <xf numFmtId="42" fontId="17" fillId="0" borderId="0" xfId="0" applyNumberFormat="1" applyFont="1" applyFill="1" applyBorder="1"/>
    <xf numFmtId="41" fontId="17" fillId="0" borderId="0" xfId="0" applyNumberFormat="1" applyFont="1" applyFill="1" applyBorder="1"/>
    <xf numFmtId="0" fontId="17" fillId="0" borderId="0" xfId="0" applyFont="1" applyFill="1" applyAlignment="1">
      <alignment horizontal="center"/>
    </xf>
    <xf numFmtId="165" fontId="17" fillId="0" borderId="0" xfId="0" applyNumberFormat="1" applyFont="1" applyFill="1" applyBorder="1"/>
    <xf numFmtId="165" fontId="17" fillId="0" borderId="3" xfId="0" applyNumberFormat="1" applyFont="1" applyFill="1" applyBorder="1"/>
    <xf numFmtId="164" fontId="18" fillId="0" borderId="0" xfId="0" applyNumberFormat="1" applyFont="1" applyFill="1" applyBorder="1"/>
    <xf numFmtId="44" fontId="17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5" fontId="2" fillId="3" borderId="0" xfId="0" quotePrefix="1" applyNumberFormat="1" applyFont="1" applyFill="1" applyAlignment="1">
      <alignment horizontal="left"/>
    </xf>
    <xf numFmtId="165" fontId="2" fillId="3" borderId="3" xfId="0" quotePrefix="1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168" fontId="2" fillId="0" borderId="0" xfId="0" applyNumberFormat="1" applyFont="1" applyFill="1" applyAlignment="1"/>
    <xf numFmtId="165" fontId="2" fillId="0" borderId="0" xfId="0" quotePrefix="1" applyNumberFormat="1" applyFont="1" applyFill="1" applyAlignment="1">
      <alignment horizontal="left"/>
    </xf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2" fillId="0" borderId="3" xfId="0" applyFont="1" applyFill="1" applyBorder="1"/>
    <xf numFmtId="0" fontId="7" fillId="0" borderId="0" xfId="0" applyFont="1" applyFill="1" applyAlignment="1">
      <alignment horizontal="left"/>
    </xf>
    <xf numFmtId="165" fontId="2" fillId="0" borderId="0" xfId="0" applyNumberFormat="1" applyFont="1" applyFill="1" applyBorder="1"/>
    <xf numFmtId="165" fontId="2" fillId="0" borderId="0" xfId="0" applyNumberFormat="1" applyFont="1" applyFill="1"/>
    <xf numFmtId="167" fontId="6" fillId="0" borderId="0" xfId="0" applyNumberFormat="1" applyFont="1" applyFill="1"/>
    <xf numFmtId="165" fontId="3" fillId="0" borderId="0" xfId="0" quotePrefix="1" applyNumberFormat="1" applyFont="1" applyFill="1" applyAlignment="1">
      <alignment horizontal="left"/>
    </xf>
    <xf numFmtId="164" fontId="2" fillId="0" borderId="0" xfId="0" quotePrefix="1" applyNumberFormat="1" applyFont="1" applyFill="1" applyAlignment="1">
      <alignment horizontal="left"/>
    </xf>
    <xf numFmtId="165" fontId="2" fillId="0" borderId="3" xfId="0" quotePrefix="1" applyNumberFormat="1" applyFont="1" applyFill="1" applyBorder="1" applyAlignment="1">
      <alignment horizontal="left"/>
    </xf>
    <xf numFmtId="0" fontId="4" fillId="0" borderId="0" xfId="0" applyFont="1" applyFill="1"/>
    <xf numFmtId="0" fontId="9" fillId="0" borderId="0" xfId="0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10" fillId="0" borderId="0" xfId="0" applyFont="1" applyFill="1"/>
    <xf numFmtId="167" fontId="2" fillId="0" borderId="1" xfId="0" applyNumberFormat="1" applyFont="1" applyFill="1" applyBorder="1"/>
    <xf numFmtId="174" fontId="1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174" fontId="13" fillId="0" borderId="12" xfId="0" applyNumberFormat="1" applyFont="1" applyFill="1" applyBorder="1" applyAlignment="1">
      <alignment horizontal="left"/>
    </xf>
    <xf numFmtId="0" fontId="13" fillId="0" borderId="13" xfId="0" applyNumberFormat="1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center"/>
    </xf>
    <xf numFmtId="174" fontId="11" fillId="0" borderId="20" xfId="0" applyNumberFormat="1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horizontal="center"/>
    </xf>
    <xf numFmtId="174" fontId="11" fillId="0" borderId="15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41" fontId="11" fillId="0" borderId="21" xfId="0" applyNumberFormat="1" applyFont="1" applyFill="1" applyBorder="1" applyAlignment="1"/>
    <xf numFmtId="0" fontId="11" fillId="0" borderId="22" xfId="0" applyNumberFormat="1" applyFont="1" applyFill="1" applyBorder="1" applyAlignment="1"/>
    <xf numFmtId="0" fontId="11" fillId="0" borderId="23" xfId="0" applyNumberFormat="1" applyFont="1" applyFill="1" applyBorder="1" applyAlignment="1">
      <alignment horizontal="right"/>
    </xf>
    <xf numFmtId="41" fontId="11" fillId="0" borderId="24" xfId="0" applyNumberFormat="1" applyFont="1" applyFill="1" applyBorder="1" applyAlignment="1"/>
    <xf numFmtId="165" fontId="17" fillId="0" borderId="0" xfId="0" applyNumberFormat="1" applyFont="1" applyFill="1"/>
    <xf numFmtId="164" fontId="17" fillId="0" borderId="0" xfId="0" applyNumberFormat="1" applyFont="1" applyFill="1" applyBorder="1"/>
    <xf numFmtId="164" fontId="18" fillId="0" borderId="0" xfId="0" applyNumberFormat="1" applyFont="1" applyFill="1" applyBorder="1"/>
    <xf numFmtId="44" fontId="17" fillId="0" borderId="0" xfId="0" applyNumberFormat="1" applyFont="1" applyFill="1" applyAlignment="1">
      <alignment horizontal="center"/>
    </xf>
    <xf numFmtId="165" fontId="17" fillId="0" borderId="0" xfId="0" quotePrefix="1" applyNumberFormat="1" applyFont="1" applyFill="1" applyAlignment="1">
      <alignment horizontal="left"/>
    </xf>
    <xf numFmtId="164" fontId="17" fillId="0" borderId="0" xfId="0" quotePrefix="1" applyNumberFormat="1" applyFont="1" applyFill="1" applyAlignment="1">
      <alignment horizontal="left"/>
    </xf>
    <xf numFmtId="168" fontId="17" fillId="0" borderId="0" xfId="0" quotePrefix="1" applyNumberFormat="1" applyFont="1" applyFill="1" applyAlignment="1">
      <alignment horizontal="left"/>
    </xf>
    <xf numFmtId="9" fontId="17" fillId="0" borderId="8" xfId="0" quotePrefix="1" applyNumberFormat="1" applyFont="1" applyFill="1" applyBorder="1"/>
    <xf numFmtId="0" fontId="17" fillId="0" borderId="0" xfId="0" applyNumberFormat="1" applyFont="1" applyFill="1" applyAlignment="1"/>
    <xf numFmtId="0" fontId="11" fillId="0" borderId="0" xfId="0" applyFont="1" applyFill="1"/>
    <xf numFmtId="0" fontId="14" fillId="0" borderId="25" xfId="3" applyFont="1" applyFill="1" applyBorder="1" applyAlignment="1">
      <alignment horizontal="centerContinuous"/>
    </xf>
    <xf numFmtId="0" fontId="14" fillId="0" borderId="1" xfId="3" applyFont="1" applyFill="1" applyBorder="1" applyAlignment="1">
      <alignment horizontal="centerContinuous"/>
    </xf>
    <xf numFmtId="0" fontId="14" fillId="0" borderId="26" xfId="3" applyFont="1" applyFill="1" applyBorder="1" applyAlignment="1">
      <alignment horizontal="centerContinuous"/>
    </xf>
    <xf numFmtId="0" fontId="11" fillId="0" borderId="0" xfId="0" applyFont="1" applyFill="1" applyAlignment="1">
      <alignment horizontal="center"/>
    </xf>
    <xf numFmtId="165" fontId="2" fillId="0" borderId="9" xfId="0" applyNumberFormat="1" applyFont="1" applyFill="1" applyBorder="1"/>
    <xf numFmtId="10" fontId="2" fillId="0" borderId="0" xfId="0" applyNumberFormat="1" applyFont="1" applyFill="1" applyBorder="1" applyAlignment="1"/>
    <xf numFmtId="4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65" fontId="2" fillId="0" borderId="18" xfId="0" applyNumberFormat="1" applyFont="1" applyFill="1" applyBorder="1" applyAlignment="1">
      <alignment vertical="center"/>
    </xf>
    <xf numFmtId="169" fontId="2" fillId="0" borderId="19" xfId="0" applyNumberFormat="1" applyFont="1" applyFill="1" applyBorder="1" applyAlignment="1">
      <alignment vertical="center"/>
    </xf>
    <xf numFmtId="169" fontId="2" fillId="0" borderId="9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172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/>
    <xf numFmtId="165" fontId="2" fillId="0" borderId="9" xfId="0" applyNumberFormat="1" applyFont="1" applyFill="1" applyBorder="1" applyAlignment="1"/>
    <xf numFmtId="173" fontId="2" fillId="0" borderId="0" xfId="0" applyNumberFormat="1" applyFont="1" applyFill="1" applyBorder="1" applyAlignment="1"/>
    <xf numFmtId="44" fontId="2" fillId="0" borderId="0" xfId="0" applyNumberFormat="1" applyFont="1" applyFill="1" applyBorder="1" applyAlignment="1"/>
    <xf numFmtId="172" fontId="9" fillId="0" borderId="0" xfId="0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169" fontId="2" fillId="0" borderId="3" xfId="0" applyNumberFormat="1" applyFont="1" applyFill="1" applyBorder="1" applyAlignment="1"/>
    <xf numFmtId="0" fontId="15" fillId="0" borderId="0" xfId="0" applyFont="1" applyFill="1"/>
    <xf numFmtId="174" fontId="11" fillId="0" borderId="0" xfId="0" applyNumberFormat="1" applyFont="1" applyFill="1" applyBorder="1" applyAlignment="1">
      <alignment horizontal="left"/>
    </xf>
    <xf numFmtId="0" fontId="11" fillId="0" borderId="9" xfId="0" applyFont="1" applyFill="1" applyBorder="1"/>
    <xf numFmtId="2" fontId="15" fillId="0" borderId="0" xfId="0" applyNumberFormat="1" applyFont="1" applyFill="1"/>
    <xf numFmtId="0" fontId="20" fillId="0" borderId="0" xfId="0" applyFont="1" applyFill="1" applyAlignment="1">
      <alignment horizontal="center"/>
    </xf>
    <xf numFmtId="0" fontId="15" fillId="0" borderId="0" xfId="0" applyFont="1"/>
    <xf numFmtId="0" fontId="13" fillId="0" borderId="10" xfId="0" applyFont="1" applyFill="1" applyBorder="1"/>
    <xf numFmtId="0" fontId="22" fillId="2" borderId="25" xfId="4" applyFont="1" applyBorder="1" applyAlignment="1">
      <alignment horizontal="centerContinuous"/>
    </xf>
    <xf numFmtId="0" fontId="11" fillId="0" borderId="6" xfId="0" applyFont="1" applyFill="1" applyBorder="1"/>
    <xf numFmtId="0" fontId="13" fillId="0" borderId="4" xfId="0" applyFont="1" applyFill="1" applyBorder="1"/>
    <xf numFmtId="0" fontId="22" fillId="2" borderId="1" xfId="4" applyFont="1" applyBorder="1" applyAlignment="1">
      <alignment horizontal="centerContinuous"/>
    </xf>
    <xf numFmtId="0" fontId="22" fillId="2" borderId="26" xfId="4" applyFont="1" applyBorder="1" applyAlignment="1">
      <alignment horizontal="centerContinuous"/>
    </xf>
    <xf numFmtId="0" fontId="11" fillId="0" borderId="4" xfId="0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2" fillId="0" borderId="0" xfId="5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41" fontId="2" fillId="0" borderId="0" xfId="0" applyNumberFormat="1" applyFont="1" applyFill="1" applyBorder="1"/>
    <xf numFmtId="0" fontId="2" fillId="0" borderId="0" xfId="5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164" fontId="2" fillId="0" borderId="0" xfId="6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2" fillId="0" borderId="0" xfId="5" applyNumberFormat="1" applyFont="1" applyFill="1" applyBorder="1" applyAlignment="1"/>
    <xf numFmtId="0" fontId="2" fillId="0" borderId="0" xfId="5" applyNumberFormat="1" applyFont="1" applyFill="1" applyBorder="1" applyAlignment="1">
      <alignment horizontal="left" indent="1"/>
    </xf>
    <xf numFmtId="0" fontId="2" fillId="0" borderId="0" xfId="5" applyNumberFormat="1" applyFont="1" applyFill="1" applyBorder="1" applyAlignment="1">
      <alignment vertical="top"/>
    </xf>
    <xf numFmtId="0" fontId="2" fillId="0" borderId="0" xfId="5" quotePrefix="1" applyNumberFormat="1" applyFont="1" applyFill="1" applyBorder="1" applyAlignment="1">
      <alignment horizontal="left"/>
    </xf>
    <xf numFmtId="0" fontId="2" fillId="0" borderId="0" xfId="5" applyNumberFormat="1" applyFont="1" applyFill="1" applyBorder="1" applyAlignment="1">
      <alignment horizontal="left" vertical="center" indent="1"/>
    </xf>
    <xf numFmtId="165" fontId="2" fillId="0" borderId="11" xfId="0" applyNumberFormat="1" applyFont="1" applyFill="1" applyBorder="1" applyAlignment="1">
      <alignment vertical="center"/>
    </xf>
    <xf numFmtId="171" fontId="2" fillId="0" borderId="3" xfId="0" applyNumberFormat="1" applyFont="1" applyFill="1" applyBorder="1" applyAlignment="1"/>
    <xf numFmtId="0" fontId="6" fillId="0" borderId="0" xfId="0" applyFont="1" applyFill="1" applyBorder="1"/>
    <xf numFmtId="168" fontId="2" fillId="0" borderId="6" xfId="0" applyNumberFormat="1" applyFont="1" applyFill="1" applyBorder="1" applyAlignment="1"/>
    <xf numFmtId="165" fontId="2" fillId="0" borderId="11" xfId="0" applyNumberFormat="1" applyFont="1" applyFill="1" applyBorder="1" applyAlignment="1"/>
    <xf numFmtId="0" fontId="2" fillId="0" borderId="6" xfId="0" applyNumberFormat="1" applyFont="1" applyFill="1" applyBorder="1" applyAlignment="1"/>
    <xf numFmtId="43" fontId="2" fillId="0" borderId="6" xfId="0" applyNumberFormat="1" applyFont="1" applyFill="1" applyBorder="1" applyAlignment="1">
      <alignment horizontal="center"/>
    </xf>
    <xf numFmtId="172" fontId="9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/>
    <xf numFmtId="172" fontId="9" fillId="0" borderId="6" xfId="0" applyNumberFormat="1" applyFont="1" applyFill="1" applyBorder="1" applyAlignment="1">
      <alignment horizontal="center"/>
    </xf>
    <xf numFmtId="169" fontId="2" fillId="0" borderId="6" xfId="0" applyNumberFormat="1" applyFont="1" applyFill="1" applyBorder="1" applyAlignment="1"/>
    <xf numFmtId="0" fontId="11" fillId="0" borderId="5" xfId="0" applyFont="1" applyFill="1" applyBorder="1" applyAlignment="1">
      <alignment horizontal="center"/>
    </xf>
    <xf numFmtId="0" fontId="2" fillId="0" borderId="7" xfId="0" applyFont="1" applyFill="1" applyBorder="1"/>
    <xf numFmtId="0" fontId="11" fillId="3" borderId="4" xfId="0" applyNumberFormat="1" applyFont="1" applyFill="1" applyBorder="1" applyAlignment="1">
      <alignment horizontal="center"/>
    </xf>
    <xf numFmtId="0" fontId="2" fillId="3" borderId="0" xfId="5" quotePrefix="1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/>
    <xf numFmtId="169" fontId="2" fillId="3" borderId="0" xfId="0" applyNumberFormat="1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/>
    <xf numFmtId="41" fontId="11" fillId="0" borderId="18" xfId="0" applyNumberFormat="1" applyFont="1" applyFill="1" applyBorder="1" applyAlignment="1"/>
    <xf numFmtId="41" fontId="11" fillId="0" borderId="16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7">
    <cellStyle name="Comma" xfId="2" builtinId="3"/>
    <cellStyle name="Comma 10 2 2 3" xfId="1"/>
    <cellStyle name="Comma 67" xfId="6"/>
    <cellStyle name="Good" xfId="4" builtinId="26"/>
    <cellStyle name="Normal" xfId="0" builtinId="0"/>
    <cellStyle name="Normal 154" xfId="5"/>
    <cellStyle name="Normal 2" xfId="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theme" Target="theme/theme1.xml"/><Relationship Id="rId73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H15" sqref="H15"/>
    </sheetView>
  </sheetViews>
  <sheetFormatPr defaultColWidth="8.85546875" defaultRowHeight="11.25" x14ac:dyDescent="0.2"/>
  <cols>
    <col min="1" max="1" width="5.28515625" style="38" customWidth="1"/>
    <col min="2" max="2" width="23.28515625" style="38" bestFit="1" customWidth="1"/>
    <col min="3" max="3" width="10" style="38" bestFit="1" customWidth="1"/>
    <col min="4" max="4" width="12.85546875" style="38" bestFit="1" customWidth="1"/>
    <col min="5" max="5" width="11.5703125" style="38" bestFit="1" customWidth="1"/>
    <col min="6" max="6" width="17.28515625" style="38" bestFit="1" customWidth="1"/>
    <col min="7" max="7" width="9.85546875" style="38" bestFit="1" customWidth="1"/>
    <col min="8" max="9" width="11.5703125" style="38" bestFit="1" customWidth="1"/>
    <col min="10" max="10" width="0.85546875" style="38" customWidth="1"/>
    <col min="11" max="11" width="11.85546875" style="38" bestFit="1" customWidth="1"/>
    <col min="12" max="12" width="8.5703125" style="38" bestFit="1" customWidth="1"/>
    <col min="13" max="13" width="10.7109375" style="38" bestFit="1" customWidth="1"/>
    <col min="14" max="14" width="11.28515625" style="38" bestFit="1" customWidth="1"/>
    <col min="15" max="15" width="13.42578125" style="38" bestFit="1" customWidth="1"/>
    <col min="16" max="16384" width="8.85546875" style="38"/>
  </cols>
  <sheetData>
    <row r="1" spans="1:15" x14ac:dyDescent="0.2">
      <c r="A1" s="332" t="s">
        <v>16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1"/>
    </row>
    <row r="2" spans="1:15" x14ac:dyDescent="0.2">
      <c r="A2" s="333" t="s">
        <v>255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1"/>
    </row>
    <row r="3" spans="1:15" x14ac:dyDescent="0.2">
      <c r="A3" s="332" t="s">
        <v>85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1"/>
    </row>
    <row r="4" spans="1:15" x14ac:dyDescent="0.2">
      <c r="A4" s="332" t="s">
        <v>79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1"/>
    </row>
    <row r="5" spans="1:15" x14ac:dyDescent="0.2">
      <c r="A5" s="333" t="s">
        <v>256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1"/>
    </row>
    <row r="6" spans="1:15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5" x14ac:dyDescent="0.2">
      <c r="A7" s="2"/>
      <c r="B7" s="31"/>
      <c r="C7" s="31"/>
      <c r="D7" s="31"/>
      <c r="E7" s="31"/>
      <c r="F7" s="31"/>
      <c r="G7" s="31"/>
      <c r="H7" s="31"/>
      <c r="J7" s="31"/>
      <c r="K7" s="31"/>
      <c r="L7" s="31"/>
      <c r="M7" s="31"/>
      <c r="N7" s="31"/>
      <c r="O7" s="31"/>
    </row>
    <row r="8" spans="1:15" ht="15" customHeight="1" x14ac:dyDescent="0.2">
      <c r="A8" s="3" t="s">
        <v>58</v>
      </c>
      <c r="B8" s="31"/>
      <c r="C8" s="31"/>
      <c r="D8" s="31" t="s">
        <v>60</v>
      </c>
      <c r="E8" s="31" t="s">
        <v>61</v>
      </c>
      <c r="F8" s="31" t="s">
        <v>61</v>
      </c>
      <c r="G8" s="31" t="s">
        <v>109</v>
      </c>
      <c r="H8" s="31" t="s">
        <v>61</v>
      </c>
      <c r="I8" s="31" t="s">
        <v>61</v>
      </c>
      <c r="J8" s="31"/>
      <c r="K8" s="31" t="s">
        <v>61</v>
      </c>
      <c r="L8" s="31" t="s">
        <v>33</v>
      </c>
      <c r="M8" s="31" t="s">
        <v>33</v>
      </c>
      <c r="N8" s="31"/>
      <c r="O8" s="31"/>
    </row>
    <row r="9" spans="1:15" ht="15" customHeight="1" x14ac:dyDescent="0.2">
      <c r="A9" s="4" t="s">
        <v>59</v>
      </c>
      <c r="B9" s="39"/>
      <c r="C9" s="5" t="s">
        <v>14</v>
      </c>
      <c r="D9" s="6">
        <v>7</v>
      </c>
      <c r="E9" s="6" t="s">
        <v>45</v>
      </c>
      <c r="F9" s="6" t="s">
        <v>62</v>
      </c>
      <c r="G9" s="6" t="s">
        <v>110</v>
      </c>
      <c r="H9" s="6" t="s">
        <v>46</v>
      </c>
      <c r="I9" s="6" t="s">
        <v>47</v>
      </c>
      <c r="J9" s="7"/>
      <c r="K9" s="6" t="s">
        <v>63</v>
      </c>
      <c r="L9" s="6">
        <v>35</v>
      </c>
      <c r="M9" s="6">
        <v>43</v>
      </c>
    </row>
    <row r="10" spans="1:15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72</v>
      </c>
      <c r="G10" s="18" t="s">
        <v>8</v>
      </c>
      <c r="H10" s="18" t="s">
        <v>7</v>
      </c>
      <c r="I10" s="18" t="s">
        <v>6</v>
      </c>
      <c r="J10" s="40"/>
      <c r="K10" s="18" t="s">
        <v>5</v>
      </c>
      <c r="L10" s="18" t="s">
        <v>4</v>
      </c>
      <c r="M10" s="18" t="s">
        <v>3</v>
      </c>
      <c r="N10" s="18"/>
    </row>
    <row r="11" spans="1:15" x14ac:dyDescent="0.2">
      <c r="A11" s="18">
        <v>1</v>
      </c>
      <c r="B11" s="41" t="s">
        <v>249</v>
      </c>
      <c r="C11" s="18"/>
      <c r="D11" s="180"/>
      <c r="E11" s="180"/>
      <c r="F11" s="18"/>
      <c r="G11" s="18"/>
      <c r="H11" s="18"/>
      <c r="I11" s="18"/>
      <c r="J11" s="40"/>
      <c r="K11" s="18"/>
      <c r="L11" s="18"/>
      <c r="M11" s="18"/>
    </row>
    <row r="12" spans="1:15" x14ac:dyDescent="0.2">
      <c r="A12" s="18">
        <f>A11+1</f>
        <v>2</v>
      </c>
      <c r="B12" s="42" t="s">
        <v>84</v>
      </c>
      <c r="C12" s="18" t="s">
        <v>234</v>
      </c>
      <c r="D12" s="167">
        <v>1176406211.9326258</v>
      </c>
      <c r="E12" s="167">
        <v>279302280.28720999</v>
      </c>
      <c r="F12" s="20">
        <f>SUM(K12:M12)</f>
        <v>294466326</v>
      </c>
      <c r="G12" s="167">
        <v>4307499.4600000009</v>
      </c>
      <c r="H12" s="167">
        <v>167408794</v>
      </c>
      <c r="I12" s="167">
        <v>120049253</v>
      </c>
      <c r="J12" s="181"/>
      <c r="K12" s="167">
        <v>282807266</v>
      </c>
      <c r="L12" s="167">
        <v>292211</v>
      </c>
      <c r="M12" s="167">
        <v>11366849</v>
      </c>
      <c r="N12" s="44"/>
    </row>
    <row r="13" spans="1:15" x14ac:dyDescent="0.2">
      <c r="A13" s="18">
        <f t="shared" ref="A13:A30" si="0">A12+1</f>
        <v>3</v>
      </c>
      <c r="B13" s="19" t="s">
        <v>49</v>
      </c>
      <c r="C13" s="18" t="s">
        <v>86</v>
      </c>
      <c r="D13" s="182">
        <f>'2019 GRC PCA Cost (Original)'!$E$25</f>
        <v>668366488.67849636</v>
      </c>
      <c r="E13" s="182">
        <f>'2019 GRC PCA Cost (Original)'!$F$25</f>
        <v>165584070.69943342</v>
      </c>
      <c r="F13" s="45">
        <f>SUM(K13:M13)</f>
        <v>188002791.59632069</v>
      </c>
      <c r="G13" s="182">
        <f>'2019 GRC PCA Cost (Original)'!$L$25</f>
        <v>0</v>
      </c>
      <c r="H13" s="182">
        <f>'2019 GRC PCA Cost (Original)'!$H$25</f>
        <v>112387716.76588084</v>
      </c>
      <c r="I13" s="182">
        <f>'2019 GRC PCA Cost (Original)'!$I$25</f>
        <v>78442408.127806216</v>
      </c>
      <c r="J13" s="43"/>
      <c r="K13" s="182">
        <f>'2019 GRC PCA Cost (Original)'!$G$25</f>
        <v>182408538.13692743</v>
      </c>
      <c r="L13" s="182">
        <f>'2019 GRC PCA Cost (Original)'!$J$25</f>
        <v>196150.77755635974</v>
      </c>
      <c r="M13" s="182">
        <f>'2019 GRC PCA Cost (Original)'!$K$25</f>
        <v>5398102.6818369012</v>
      </c>
      <c r="N13" s="44"/>
    </row>
    <row r="14" spans="1:15" x14ac:dyDescent="0.2">
      <c r="A14" s="18">
        <f t="shared" si="0"/>
        <v>4</v>
      </c>
      <c r="B14" s="42" t="s">
        <v>87</v>
      </c>
      <c r="C14" s="18" t="str">
        <f>"("&amp;A12&amp;") - ("&amp;A$13&amp;")"</f>
        <v>(2) - (3)</v>
      </c>
      <c r="D14" s="20">
        <f>D12-D13</f>
        <v>508039723.25412941</v>
      </c>
      <c r="E14" s="20">
        <f t="shared" ref="E14:L14" si="1">E12-E13</f>
        <v>113718209.58777657</v>
      </c>
      <c r="F14" s="20">
        <f t="shared" si="1"/>
        <v>106463534.40367931</v>
      </c>
      <c r="G14" s="20">
        <f>G12-G13</f>
        <v>4307499.4600000009</v>
      </c>
      <c r="H14" s="20">
        <f>H12-H13</f>
        <v>55021077.234119162</v>
      </c>
      <c r="I14" s="20">
        <f>I12-I13</f>
        <v>41606844.872193784</v>
      </c>
      <c r="J14" s="43"/>
      <c r="K14" s="20">
        <f t="shared" si="1"/>
        <v>100398727.86307257</v>
      </c>
      <c r="L14" s="20">
        <f t="shared" si="1"/>
        <v>96060.222443640261</v>
      </c>
      <c r="M14" s="20">
        <f>M12-M13</f>
        <v>5968746.3181630988</v>
      </c>
    </row>
    <row r="15" spans="1:15" x14ac:dyDescent="0.2">
      <c r="A15" s="18">
        <f t="shared" si="0"/>
        <v>5</v>
      </c>
      <c r="B15" s="42"/>
      <c r="C15" s="16"/>
      <c r="D15" s="20"/>
      <c r="E15" s="20"/>
      <c r="F15" s="20"/>
      <c r="G15" s="20"/>
      <c r="H15" s="20"/>
      <c r="I15" s="20"/>
      <c r="J15" s="43"/>
      <c r="K15" s="20"/>
      <c r="L15" s="20"/>
      <c r="M15" s="20"/>
    </row>
    <row r="16" spans="1:15" x14ac:dyDescent="0.2">
      <c r="A16" s="18">
        <f t="shared" si="0"/>
        <v>6</v>
      </c>
      <c r="B16" s="19" t="s">
        <v>48</v>
      </c>
      <c r="C16" s="18" t="s">
        <v>234</v>
      </c>
      <c r="D16" s="167">
        <v>92631640</v>
      </c>
      <c r="E16" s="167">
        <v>23751006</v>
      </c>
      <c r="F16" s="20">
        <f>SUM(K16:M16)</f>
        <v>5975255</v>
      </c>
      <c r="G16" s="167">
        <v>278480</v>
      </c>
      <c r="H16" s="167">
        <v>1148641</v>
      </c>
      <c r="I16" s="167">
        <v>2164908</v>
      </c>
      <c r="J16" s="43"/>
      <c r="K16" s="167">
        <v>5278273</v>
      </c>
      <c r="L16" s="167">
        <v>14209</v>
      </c>
      <c r="M16" s="167">
        <v>682773</v>
      </c>
    </row>
    <row r="17" spans="1:14" x14ac:dyDescent="0.2">
      <c r="A17" s="18">
        <f t="shared" si="0"/>
        <v>7</v>
      </c>
      <c r="B17" s="19"/>
      <c r="C17" s="16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4" ht="12" thickBot="1" x14ac:dyDescent="0.25">
      <c r="A18" s="18">
        <f t="shared" si="0"/>
        <v>8</v>
      </c>
      <c r="B18" s="19" t="s">
        <v>88</v>
      </c>
      <c r="C18" s="18" t="str">
        <f>"("&amp;A14&amp;") - ("&amp;A16&amp;")"</f>
        <v>(4) - (6)</v>
      </c>
      <c r="D18" s="46">
        <f>D14-D16</f>
        <v>415408083.25412941</v>
      </c>
      <c r="E18" s="46">
        <f t="shared" ref="E18:I18" si="2">E14-E16</f>
        <v>89967203.587776572</v>
      </c>
      <c r="F18" s="46">
        <f t="shared" si="2"/>
        <v>100488279.40367931</v>
      </c>
      <c r="G18" s="46">
        <f t="shared" si="2"/>
        <v>4029019.4600000009</v>
      </c>
      <c r="H18" s="46">
        <f t="shared" si="2"/>
        <v>53872436.234119162</v>
      </c>
      <c r="I18" s="46">
        <f t="shared" si="2"/>
        <v>39441936.872193784</v>
      </c>
      <c r="J18" s="20"/>
      <c r="K18" s="46">
        <f>K14-K16</f>
        <v>95120454.863072574</v>
      </c>
      <c r="L18" s="46">
        <f t="shared" ref="L18:M18" si="3">L14-L16</f>
        <v>81851.222443640261</v>
      </c>
      <c r="M18" s="46">
        <f t="shared" si="3"/>
        <v>5285973.3181630988</v>
      </c>
    </row>
    <row r="19" spans="1:14" ht="12" thickTop="1" x14ac:dyDescent="0.2">
      <c r="A19" s="18">
        <f t="shared" si="0"/>
        <v>9</v>
      </c>
      <c r="B19" s="19"/>
      <c r="D19" s="47"/>
    </row>
    <row r="20" spans="1:14" s="207" customFormat="1" x14ac:dyDescent="0.2">
      <c r="A20" s="198">
        <f t="shared" si="0"/>
        <v>10</v>
      </c>
      <c r="B20" s="199"/>
      <c r="D20" s="212"/>
    </row>
    <row r="21" spans="1:14" x14ac:dyDescent="0.2">
      <c r="A21" s="198">
        <f t="shared" si="0"/>
        <v>11</v>
      </c>
      <c r="B21" s="41" t="s">
        <v>250</v>
      </c>
      <c r="C21" s="18"/>
      <c r="D21" s="180"/>
      <c r="E21" s="180"/>
      <c r="F21" s="18"/>
      <c r="G21" s="18"/>
      <c r="H21" s="18"/>
      <c r="I21" s="18"/>
      <c r="J21" s="40"/>
      <c r="K21" s="18"/>
      <c r="L21" s="18"/>
      <c r="M21" s="18"/>
    </row>
    <row r="22" spans="1:14" x14ac:dyDescent="0.2">
      <c r="A22" s="198">
        <f t="shared" si="0"/>
        <v>12</v>
      </c>
      <c r="B22" s="42" t="s">
        <v>84</v>
      </c>
      <c r="C22" s="18" t="s">
        <v>234</v>
      </c>
      <c r="D22" s="167">
        <v>1176406211.9326258</v>
      </c>
      <c r="E22" s="167">
        <v>279302280.28720999</v>
      </c>
      <c r="F22" s="20">
        <f>SUM(K22:M22)</f>
        <v>294466326</v>
      </c>
      <c r="G22" s="167">
        <v>4307499.4600000009</v>
      </c>
      <c r="H22" s="167">
        <v>167408794</v>
      </c>
      <c r="I22" s="167">
        <v>120049253</v>
      </c>
      <c r="J22" s="181"/>
      <c r="K22" s="167">
        <v>282807266</v>
      </c>
      <c r="L22" s="167">
        <v>292211</v>
      </c>
      <c r="M22" s="167">
        <v>11366849</v>
      </c>
      <c r="N22" s="44"/>
    </row>
    <row r="23" spans="1:14" x14ac:dyDescent="0.2">
      <c r="A23" s="198">
        <f t="shared" si="0"/>
        <v>13</v>
      </c>
      <c r="B23" s="19" t="s">
        <v>49</v>
      </c>
      <c r="C23" s="18" t="s">
        <v>86</v>
      </c>
      <c r="D23" s="182">
        <f>'2019 GRC PCA Cost (Revised)'!$E$25</f>
        <v>657358368.26937556</v>
      </c>
      <c r="E23" s="182">
        <f>'2019 GRC PCA Cost (Revised)'!$F$25</f>
        <v>162856870.2503269</v>
      </c>
      <c r="F23" s="45">
        <f>SUM(K23:M23)</f>
        <v>184906350.64334124</v>
      </c>
      <c r="G23" s="182">
        <f>'2019 GRC PCA Cost (Revised)'!$L$25</f>
        <v>0</v>
      </c>
      <c r="H23" s="182">
        <f>'2019 GRC PCA Cost (Revised)'!$H$25</f>
        <v>110536670.16252533</v>
      </c>
      <c r="I23" s="182">
        <f>'2019 GRC PCA Cost (Revised)'!$I$25</f>
        <v>77150447.072787404</v>
      </c>
      <c r="J23" s="210"/>
      <c r="K23" s="182">
        <f>'2019 GRC PCA Cost (Revised)'!$G$25</f>
        <v>179404235.57915974</v>
      </c>
      <c r="L23" s="182">
        <f>'2019 GRC PCA Cost (Revised)'!$J$25</f>
        <v>192920.1377587954</v>
      </c>
      <c r="M23" s="182">
        <f>'2019 GRC PCA Cost (Revised)'!$K$25</f>
        <v>5309194.9264227264</v>
      </c>
      <c r="N23" s="44"/>
    </row>
    <row r="24" spans="1:14" x14ac:dyDescent="0.2">
      <c r="A24" s="198">
        <f t="shared" si="0"/>
        <v>14</v>
      </c>
      <c r="B24" s="42" t="s">
        <v>87</v>
      </c>
      <c r="C24" s="18" t="str">
        <f>"("&amp;A22&amp;") - ("&amp;A$13&amp;")"</f>
        <v>(12) - (3)</v>
      </c>
      <c r="D24" s="20">
        <f>D22-D23</f>
        <v>519047843.66325021</v>
      </c>
      <c r="E24" s="20">
        <f t="shared" ref="E24:F24" si="4">E22-E23</f>
        <v>116445410.03688309</v>
      </c>
      <c r="F24" s="20">
        <f t="shared" si="4"/>
        <v>109559975.35665876</v>
      </c>
      <c r="G24" s="20">
        <f>G22-G23</f>
        <v>4307499.4600000009</v>
      </c>
      <c r="H24" s="20">
        <f>H22-H23</f>
        <v>56872123.837474674</v>
      </c>
      <c r="I24" s="20">
        <f>I22-I23</f>
        <v>42898805.927212596</v>
      </c>
      <c r="J24" s="43"/>
      <c r="K24" s="20">
        <f t="shared" ref="K24:L24" si="5">K22-K23</f>
        <v>103403030.42084026</v>
      </c>
      <c r="L24" s="20">
        <f t="shared" si="5"/>
        <v>99290.862241204595</v>
      </c>
      <c r="M24" s="20">
        <f>M22-M23</f>
        <v>6057654.0735772736</v>
      </c>
    </row>
    <row r="25" spans="1:14" x14ac:dyDescent="0.2">
      <c r="A25" s="198">
        <f t="shared" si="0"/>
        <v>15</v>
      </c>
      <c r="B25" s="42"/>
      <c r="C25" s="16"/>
      <c r="D25" s="20"/>
      <c r="E25" s="20"/>
      <c r="F25" s="20"/>
      <c r="G25" s="20"/>
      <c r="H25" s="20"/>
      <c r="I25" s="20"/>
      <c r="J25" s="43"/>
      <c r="K25" s="20"/>
      <c r="L25" s="20"/>
      <c r="M25" s="20"/>
    </row>
    <row r="26" spans="1:14" x14ac:dyDescent="0.2">
      <c r="A26" s="198">
        <f t="shared" si="0"/>
        <v>16</v>
      </c>
      <c r="B26" s="19" t="s">
        <v>48</v>
      </c>
      <c r="C26" s="18" t="s">
        <v>234</v>
      </c>
      <c r="D26" s="167">
        <v>92631640</v>
      </c>
      <c r="E26" s="167">
        <v>23751006</v>
      </c>
      <c r="F26" s="20">
        <f>SUM(K26:M26)</f>
        <v>5975255</v>
      </c>
      <c r="G26" s="167">
        <v>278480</v>
      </c>
      <c r="H26" s="167">
        <v>1148641</v>
      </c>
      <c r="I26" s="167">
        <v>2164908</v>
      </c>
      <c r="J26" s="43"/>
      <c r="K26" s="167">
        <v>5278273</v>
      </c>
      <c r="L26" s="167">
        <v>14209</v>
      </c>
      <c r="M26" s="167">
        <v>682773</v>
      </c>
    </row>
    <row r="27" spans="1:14" x14ac:dyDescent="0.2">
      <c r="A27" s="198">
        <f t="shared" si="0"/>
        <v>17</v>
      </c>
      <c r="B27" s="19"/>
      <c r="C27" s="16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ht="12" thickBot="1" x14ac:dyDescent="0.25">
      <c r="A28" s="198">
        <f t="shared" si="0"/>
        <v>18</v>
      </c>
      <c r="B28" s="19" t="s">
        <v>88</v>
      </c>
      <c r="C28" s="18" t="str">
        <f>"("&amp;A24&amp;") - ("&amp;A26&amp;")"</f>
        <v>(14) - (16)</v>
      </c>
      <c r="D28" s="46">
        <f>D24-D26</f>
        <v>426416203.66325021</v>
      </c>
      <c r="E28" s="46">
        <f t="shared" ref="E28:I28" si="6">E24-E26</f>
        <v>92694404.036883086</v>
      </c>
      <c r="F28" s="46">
        <f t="shared" si="6"/>
        <v>103584720.35665876</v>
      </c>
      <c r="G28" s="46">
        <f t="shared" si="6"/>
        <v>4029019.4600000009</v>
      </c>
      <c r="H28" s="46">
        <f t="shared" si="6"/>
        <v>55723482.837474674</v>
      </c>
      <c r="I28" s="46">
        <f t="shared" si="6"/>
        <v>40733897.927212596</v>
      </c>
      <c r="J28" s="20"/>
      <c r="K28" s="46">
        <f>K24-K26</f>
        <v>98124757.420840263</v>
      </c>
      <c r="L28" s="46">
        <f t="shared" ref="L28:M28" si="7">L24-L26</f>
        <v>85081.862241204595</v>
      </c>
      <c r="M28" s="46">
        <f t="shared" si="7"/>
        <v>5374881.0735772736</v>
      </c>
    </row>
    <row r="29" spans="1:14" ht="12" thickTop="1" x14ac:dyDescent="0.2">
      <c r="A29" s="198">
        <f t="shared" si="0"/>
        <v>19</v>
      </c>
    </row>
    <row r="30" spans="1:14" x14ac:dyDescent="0.2">
      <c r="A30" s="198">
        <f t="shared" si="0"/>
        <v>20</v>
      </c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7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3" workbookViewId="0">
      <selection activeCell="G28" sqref="G28"/>
    </sheetView>
  </sheetViews>
  <sheetFormatPr defaultColWidth="9.140625" defaultRowHeight="11.25" x14ac:dyDescent="0.2"/>
  <cols>
    <col min="1" max="1" width="9.140625" style="19"/>
    <col min="2" max="2" width="38.42578125" style="19" bestFit="1" customWidth="1"/>
    <col min="3" max="3" width="12.85546875" style="19" bestFit="1" customWidth="1"/>
    <col min="4" max="4" width="11.28515625" style="19" bestFit="1" customWidth="1"/>
    <col min="5" max="5" width="4.140625" style="19" bestFit="1" customWidth="1"/>
    <col min="6" max="7" width="11.5703125" style="19" bestFit="1" customWidth="1"/>
    <col min="8" max="16384" width="9.140625" style="19"/>
  </cols>
  <sheetData>
    <row r="1" spans="1:7" x14ac:dyDescent="0.2">
      <c r="A1" s="287" t="s">
        <v>115</v>
      </c>
      <c r="B1" s="283"/>
      <c r="C1" s="283"/>
      <c r="D1" s="283"/>
      <c r="E1" s="247" t="s">
        <v>240</v>
      </c>
      <c r="F1" s="248"/>
      <c r="G1" s="249"/>
    </row>
    <row r="2" spans="1:7" x14ac:dyDescent="0.2">
      <c r="A2" s="290" t="s">
        <v>116</v>
      </c>
      <c r="B2" s="255"/>
      <c r="C2" s="255"/>
      <c r="D2" s="255"/>
      <c r="E2" s="255"/>
      <c r="F2" s="255"/>
      <c r="G2" s="289"/>
    </row>
    <row r="3" spans="1:7" x14ac:dyDescent="0.2">
      <c r="A3" s="288" t="s">
        <v>251</v>
      </c>
      <c r="B3" s="291"/>
      <c r="C3" s="291"/>
      <c r="D3" s="291"/>
      <c r="E3" s="291"/>
      <c r="F3" s="291"/>
      <c r="G3" s="292"/>
    </row>
    <row r="4" spans="1:7" x14ac:dyDescent="0.2">
      <c r="A4" s="293"/>
      <c r="B4" s="255"/>
      <c r="C4" s="255"/>
      <c r="D4" s="255"/>
      <c r="E4" s="255"/>
      <c r="F4" s="255"/>
      <c r="G4" s="289"/>
    </row>
    <row r="5" spans="1:7" x14ac:dyDescent="0.2">
      <c r="A5" s="293" t="s">
        <v>117</v>
      </c>
      <c r="B5" s="255"/>
      <c r="C5" s="263" t="s">
        <v>118</v>
      </c>
      <c r="D5" s="255"/>
      <c r="E5" s="255"/>
      <c r="F5" s="255"/>
      <c r="G5" s="289"/>
    </row>
    <row r="6" spans="1:7" x14ac:dyDescent="0.2">
      <c r="A6" s="294">
        <v>3</v>
      </c>
      <c r="B6" s="295" t="s">
        <v>252</v>
      </c>
      <c r="C6" s="210">
        <v>148923662.89445901</v>
      </c>
      <c r="D6" s="296"/>
      <c r="E6" s="296"/>
      <c r="F6" s="296"/>
      <c r="G6" s="297"/>
    </row>
    <row r="7" spans="1:7" x14ac:dyDescent="0.2">
      <c r="A7" s="294">
        <v>4</v>
      </c>
      <c r="B7" s="295" t="s">
        <v>253</v>
      </c>
      <c r="C7" s="298">
        <v>79202112.316321075</v>
      </c>
      <c r="D7" s="296"/>
      <c r="E7" s="296"/>
      <c r="F7" s="296"/>
      <c r="G7" s="297"/>
    </row>
    <row r="8" spans="1:7" x14ac:dyDescent="0.2">
      <c r="A8" s="294">
        <v>5</v>
      </c>
      <c r="B8" s="295" t="s">
        <v>254</v>
      </c>
      <c r="C8" s="298">
        <v>1692468635.3914154</v>
      </c>
      <c r="D8" s="296"/>
      <c r="E8" s="296"/>
      <c r="F8" s="296"/>
      <c r="G8" s="297"/>
    </row>
    <row r="9" spans="1:7" x14ac:dyDescent="0.2">
      <c r="A9" s="294">
        <v>6</v>
      </c>
      <c r="B9" s="295"/>
      <c r="C9" s="251">
        <v>1920594410.6021955</v>
      </c>
      <c r="D9" s="296"/>
      <c r="E9" s="296"/>
      <c r="F9" s="296"/>
      <c r="G9" s="297"/>
    </row>
    <row r="10" spans="1:7" x14ac:dyDescent="0.2">
      <c r="A10" s="294">
        <v>7</v>
      </c>
      <c r="B10" s="299" t="s">
        <v>242</v>
      </c>
      <c r="C10" s="252">
        <v>6.8000000000000005E-2</v>
      </c>
      <c r="D10" s="253"/>
      <c r="E10" s="253"/>
      <c r="F10" s="254" t="s">
        <v>123</v>
      </c>
      <c r="G10" s="300" t="s">
        <v>124</v>
      </c>
    </row>
    <row r="11" spans="1:7" x14ac:dyDescent="0.2">
      <c r="A11" s="294">
        <v>8</v>
      </c>
      <c r="B11" s="299"/>
      <c r="C11" s="252"/>
      <c r="D11" s="254" t="s">
        <v>125</v>
      </c>
      <c r="E11" s="254"/>
      <c r="F11" s="254" t="s">
        <v>126</v>
      </c>
      <c r="G11" s="300" t="s">
        <v>126</v>
      </c>
    </row>
    <row r="12" spans="1:7" x14ac:dyDescent="0.2">
      <c r="A12" s="294">
        <v>9</v>
      </c>
      <c r="B12" s="301"/>
      <c r="C12" s="252"/>
      <c r="D12" s="256" t="s">
        <v>128</v>
      </c>
      <c r="E12" s="256"/>
      <c r="F12" s="257" t="s">
        <v>129</v>
      </c>
      <c r="G12" s="302" t="s">
        <v>130</v>
      </c>
    </row>
    <row r="13" spans="1:7" x14ac:dyDescent="0.2">
      <c r="A13" s="294" t="s">
        <v>135</v>
      </c>
      <c r="B13" s="299"/>
      <c r="C13" s="254" t="s">
        <v>136</v>
      </c>
      <c r="D13" s="258" t="s">
        <v>137</v>
      </c>
      <c r="E13" s="258" t="s">
        <v>138</v>
      </c>
      <c r="F13" s="258" t="s">
        <v>139</v>
      </c>
      <c r="G13" s="303" t="s">
        <v>140</v>
      </c>
    </row>
    <row r="14" spans="1:7" x14ac:dyDescent="0.2">
      <c r="A14" s="294">
        <v>10</v>
      </c>
      <c r="B14" s="299" t="s">
        <v>142</v>
      </c>
      <c r="C14" s="259">
        <v>12818745.666864827</v>
      </c>
      <c r="D14" s="260">
        <v>0.624</v>
      </c>
      <c r="E14" s="261" t="s">
        <v>143</v>
      </c>
      <c r="F14" s="259">
        <v>12818745.666864827</v>
      </c>
      <c r="G14" s="304"/>
    </row>
    <row r="15" spans="1:7" x14ac:dyDescent="0.2">
      <c r="A15" s="294" t="s">
        <v>144</v>
      </c>
      <c r="B15" s="299" t="s">
        <v>145</v>
      </c>
      <c r="C15" s="262">
        <v>3913502.79561463</v>
      </c>
      <c r="D15" s="260">
        <v>0.191</v>
      </c>
      <c r="E15" s="261" t="s">
        <v>146</v>
      </c>
      <c r="F15" s="262"/>
      <c r="G15" s="305">
        <v>3913502.79561463</v>
      </c>
    </row>
    <row r="16" spans="1:7" x14ac:dyDescent="0.2">
      <c r="A16" s="294">
        <v>11</v>
      </c>
      <c r="B16" s="306" t="s">
        <v>149</v>
      </c>
      <c r="C16" s="262">
        <v>6817397.0095061176</v>
      </c>
      <c r="D16" s="260">
        <v>0.33200000000000002</v>
      </c>
      <c r="E16" s="261" t="s">
        <v>143</v>
      </c>
      <c r="F16" s="262">
        <v>6817397.0095061176</v>
      </c>
      <c r="G16" s="305"/>
    </row>
    <row r="17" spans="1:7" x14ac:dyDescent="0.2">
      <c r="A17" s="294">
        <v>12</v>
      </c>
      <c r="B17" s="306" t="s">
        <v>151</v>
      </c>
      <c r="C17" s="262">
        <v>145680844.56533703</v>
      </c>
      <c r="D17" s="260">
        <v>7.0940000000000003</v>
      </c>
      <c r="E17" s="261" t="s">
        <v>143</v>
      </c>
      <c r="F17" s="262">
        <v>145680844.56533703</v>
      </c>
      <c r="G17" s="305"/>
    </row>
    <row r="18" spans="1:7" x14ac:dyDescent="0.2">
      <c r="A18" s="294">
        <v>13</v>
      </c>
      <c r="B18" s="306" t="s">
        <v>244</v>
      </c>
      <c r="C18" s="262">
        <v>37089392.406405531</v>
      </c>
      <c r="D18" s="260">
        <v>1.806</v>
      </c>
      <c r="E18" s="261" t="s">
        <v>146</v>
      </c>
      <c r="F18" s="262"/>
      <c r="G18" s="305">
        <v>37089392.406405531</v>
      </c>
    </row>
    <row r="19" spans="1:7" x14ac:dyDescent="0.2">
      <c r="A19" s="294">
        <v>14</v>
      </c>
      <c r="B19" s="306" t="s">
        <v>245</v>
      </c>
      <c r="C19" s="262">
        <v>468639005.35613108</v>
      </c>
      <c r="D19" s="260">
        <v>22.821000000000002</v>
      </c>
      <c r="E19" s="261" t="s">
        <v>146</v>
      </c>
      <c r="F19" s="262"/>
      <c r="G19" s="305">
        <v>468639005.35613108</v>
      </c>
    </row>
    <row r="20" spans="1:7" x14ac:dyDescent="0.2">
      <c r="A20" s="294">
        <v>15</v>
      </c>
      <c r="B20" s="306" t="s">
        <v>155</v>
      </c>
      <c r="C20" s="262">
        <v>8072158.7332714284</v>
      </c>
      <c r="D20" s="260">
        <v>0.39300000000000002</v>
      </c>
      <c r="E20" s="261" t="s">
        <v>143</v>
      </c>
      <c r="F20" s="262">
        <v>8072158.7332714284</v>
      </c>
      <c r="G20" s="305"/>
    </row>
    <row r="21" spans="1:7" x14ac:dyDescent="0.2">
      <c r="A21" s="294" t="s">
        <v>157</v>
      </c>
      <c r="B21" s="307" t="s">
        <v>158</v>
      </c>
      <c r="C21" s="262">
        <v>8840460.579817621</v>
      </c>
      <c r="D21" s="260">
        <v>0.43</v>
      </c>
      <c r="E21" s="261" t="s">
        <v>143</v>
      </c>
      <c r="F21" s="262">
        <v>8840460.579817621</v>
      </c>
      <c r="G21" s="305"/>
    </row>
    <row r="22" spans="1:7" x14ac:dyDescent="0.2">
      <c r="A22" s="294" t="s">
        <v>160</v>
      </c>
      <c r="B22" s="307" t="s">
        <v>161</v>
      </c>
      <c r="C22" s="262">
        <v>3895439.2738404199</v>
      </c>
      <c r="D22" s="260">
        <v>0.19</v>
      </c>
      <c r="E22" s="261" t="s">
        <v>143</v>
      </c>
      <c r="F22" s="262">
        <v>3895439.2738404199</v>
      </c>
      <c r="G22" s="305"/>
    </row>
    <row r="23" spans="1:7" x14ac:dyDescent="0.2">
      <c r="A23" s="294" t="s">
        <v>163</v>
      </c>
      <c r="B23" s="307" t="s">
        <v>164</v>
      </c>
      <c r="C23" s="262">
        <v>766379.13641918893</v>
      </c>
      <c r="D23" s="260">
        <v>3.6999999999999998E-2</v>
      </c>
      <c r="E23" s="261" t="s">
        <v>146</v>
      </c>
      <c r="F23" s="262"/>
      <c r="G23" s="305">
        <v>766379.13641918893</v>
      </c>
    </row>
    <row r="24" spans="1:7" x14ac:dyDescent="0.2">
      <c r="A24" s="294" t="s">
        <v>166</v>
      </c>
      <c r="B24" s="307" t="s">
        <v>167</v>
      </c>
      <c r="C24" s="262">
        <v>1989467.6013443223</v>
      </c>
      <c r="D24" s="260">
        <v>9.7000000000000003E-2</v>
      </c>
      <c r="E24" s="261" t="s">
        <v>143</v>
      </c>
      <c r="F24" s="262">
        <v>1989467.6013443223</v>
      </c>
      <c r="G24" s="305"/>
    </row>
    <row r="25" spans="1:7" x14ac:dyDescent="0.2">
      <c r="A25" s="294" t="s">
        <v>169</v>
      </c>
      <c r="B25" s="307" t="s">
        <v>170</v>
      </c>
      <c r="C25" s="262">
        <v>426928.32671306725</v>
      </c>
      <c r="D25" s="260">
        <v>2.1000000000000001E-2</v>
      </c>
      <c r="E25" s="261" t="s">
        <v>146</v>
      </c>
      <c r="F25" s="262"/>
      <c r="G25" s="305">
        <v>426928.32671306725</v>
      </c>
    </row>
    <row r="26" spans="1:7" x14ac:dyDescent="0.2">
      <c r="A26" s="294">
        <v>16</v>
      </c>
      <c r="B26" s="306" t="s">
        <v>246</v>
      </c>
      <c r="C26" s="262">
        <v>126925932.5832969</v>
      </c>
      <c r="D26" s="260">
        <v>6.181</v>
      </c>
      <c r="E26" s="261" t="s">
        <v>146</v>
      </c>
      <c r="F26" s="262"/>
      <c r="G26" s="305">
        <v>126925932.5832969</v>
      </c>
    </row>
    <row r="27" spans="1:7" x14ac:dyDescent="0.2">
      <c r="A27" s="294">
        <v>17</v>
      </c>
      <c r="B27" s="306" t="s">
        <v>247</v>
      </c>
      <c r="C27" s="262">
        <v>112486392.77130413</v>
      </c>
      <c r="D27" s="260">
        <v>5.4779999999999998</v>
      </c>
      <c r="E27" s="261" t="s">
        <v>146</v>
      </c>
      <c r="F27" s="262"/>
      <c r="G27" s="305">
        <v>112486392.77130413</v>
      </c>
    </row>
    <row r="28" spans="1:7" x14ac:dyDescent="0.2">
      <c r="A28" s="294">
        <v>18</v>
      </c>
      <c r="B28" s="306" t="s">
        <v>174</v>
      </c>
      <c r="C28" s="262">
        <v>-8666881.7085096519</v>
      </c>
      <c r="D28" s="260">
        <v>-0.42199999999999999</v>
      </c>
      <c r="E28" s="261" t="s">
        <v>143</v>
      </c>
      <c r="F28" s="262">
        <v>-8666881.7085096519</v>
      </c>
      <c r="G28" s="305"/>
    </row>
    <row r="29" spans="1:7" x14ac:dyDescent="0.2">
      <c r="A29" s="294">
        <v>19</v>
      </c>
      <c r="B29" s="306" t="s">
        <v>159</v>
      </c>
      <c r="C29" s="262">
        <v>108205898.55701637</v>
      </c>
      <c r="D29" s="260">
        <v>5.2690000000000001</v>
      </c>
      <c r="E29" s="261" t="s">
        <v>143</v>
      </c>
      <c r="F29" s="262">
        <v>108205898.55701637</v>
      </c>
      <c r="G29" s="305"/>
    </row>
    <row r="30" spans="1:7" x14ac:dyDescent="0.2">
      <c r="A30" s="294">
        <v>20</v>
      </c>
      <c r="B30" s="306" t="s">
        <v>177</v>
      </c>
      <c r="C30" s="262">
        <v>-9043639.2224400043</v>
      </c>
      <c r="D30" s="260">
        <v>-0.44</v>
      </c>
      <c r="E30" s="261" t="s">
        <v>146</v>
      </c>
      <c r="F30" s="262"/>
      <c r="G30" s="305">
        <v>-9043639.2224400043</v>
      </c>
    </row>
    <row r="31" spans="1:7" x14ac:dyDescent="0.2">
      <c r="A31" s="294">
        <v>21</v>
      </c>
      <c r="B31" s="308" t="s">
        <v>178</v>
      </c>
      <c r="C31" s="262">
        <v>-27552250.181711692</v>
      </c>
      <c r="D31" s="260">
        <v>-1.3420000000000001</v>
      </c>
      <c r="E31" s="261" t="s">
        <v>146</v>
      </c>
      <c r="F31" s="262"/>
      <c r="G31" s="305">
        <v>-27552250.181711692</v>
      </c>
    </row>
    <row r="32" spans="1:7" x14ac:dyDescent="0.2">
      <c r="A32" s="294">
        <v>22</v>
      </c>
      <c r="B32" s="306" t="s">
        <v>162</v>
      </c>
      <c r="C32" s="262">
        <v>876514.03</v>
      </c>
      <c r="D32" s="260">
        <v>4.2999999999999997E-2</v>
      </c>
      <c r="E32" s="261" t="s">
        <v>143</v>
      </c>
      <c r="F32" s="262">
        <v>876514.03</v>
      </c>
      <c r="G32" s="305"/>
    </row>
    <row r="33" spans="1:7" x14ac:dyDescent="0.2">
      <c r="A33" s="324">
        <v>23</v>
      </c>
      <c r="B33" s="325" t="s">
        <v>180</v>
      </c>
      <c r="C33" s="326">
        <v>155106180.2892209</v>
      </c>
      <c r="D33" s="327">
        <v>7.5529999999999999</v>
      </c>
      <c r="E33" s="328" t="s">
        <v>143</v>
      </c>
      <c r="F33" s="326">
        <v>155106180.2892209</v>
      </c>
      <c r="G33" s="329"/>
    </row>
    <row r="34" spans="1:7" x14ac:dyDescent="0.2">
      <c r="A34" s="294">
        <v>24</v>
      </c>
      <c r="B34" s="309" t="s">
        <v>182</v>
      </c>
      <c r="C34" s="262">
        <v>3531950.8300239993</v>
      </c>
      <c r="D34" s="260">
        <v>0.17199999999999999</v>
      </c>
      <c r="E34" s="261" t="s">
        <v>143</v>
      </c>
      <c r="F34" s="262">
        <v>3531950.8300239993</v>
      </c>
      <c r="G34" s="305"/>
    </row>
    <row r="35" spans="1:7" x14ac:dyDescent="0.2">
      <c r="A35" s="294">
        <v>25</v>
      </c>
      <c r="B35" s="309" t="s">
        <v>248</v>
      </c>
      <c r="C35" s="262">
        <v>8031923.03318753</v>
      </c>
      <c r="D35" s="260">
        <v>0.39100000000000001</v>
      </c>
      <c r="E35" s="261" t="s">
        <v>143</v>
      </c>
      <c r="F35" s="262">
        <v>8031923.03318753</v>
      </c>
      <c r="G35" s="305"/>
    </row>
    <row r="36" spans="1:7" ht="12" thickBot="1" x14ac:dyDescent="0.25">
      <c r="A36" s="294">
        <v>27</v>
      </c>
      <c r="B36" s="310" t="s">
        <v>184</v>
      </c>
      <c r="C36" s="265">
        <v>1168851742.4326539</v>
      </c>
      <c r="D36" s="266">
        <v>56.918999999999997</v>
      </c>
      <c r="E36" s="267"/>
      <c r="F36" s="268">
        <v>455200098.46092093</v>
      </c>
      <c r="G36" s="311">
        <v>713651643.97173285</v>
      </c>
    </row>
    <row r="37" spans="1:7" x14ac:dyDescent="0.2">
      <c r="A37" s="294">
        <v>28</v>
      </c>
      <c r="B37" s="306" t="s">
        <v>185</v>
      </c>
      <c r="C37" s="312">
        <v>0.95111500000000004</v>
      </c>
      <c r="D37" s="313"/>
      <c r="E37" s="269"/>
      <c r="F37" s="270">
        <v>0.95111500000000004</v>
      </c>
      <c r="G37" s="314">
        <v>0.95111500000000004</v>
      </c>
    </row>
    <row r="38" spans="1:7" x14ac:dyDescent="0.2">
      <c r="A38" s="294">
        <v>29</v>
      </c>
      <c r="B38" s="306" t="s">
        <v>187</v>
      </c>
      <c r="C38" s="271">
        <v>1228927881.9413571</v>
      </c>
      <c r="D38" s="313"/>
      <c r="E38" s="262"/>
      <c r="F38" s="271">
        <v>478596277.48581499</v>
      </c>
      <c r="G38" s="315">
        <v>750331604.45554197</v>
      </c>
    </row>
    <row r="39" spans="1:7" x14ac:dyDescent="0.2">
      <c r="A39" s="294">
        <v>30</v>
      </c>
      <c r="B39" s="264" t="s">
        <v>189</v>
      </c>
      <c r="C39" s="262">
        <v>20535748.503355935</v>
      </c>
      <c r="D39" s="262"/>
      <c r="E39" s="262"/>
      <c r="F39" s="264"/>
      <c r="G39" s="316"/>
    </row>
    <row r="40" spans="1:7" x14ac:dyDescent="0.2">
      <c r="A40" s="294">
        <v>31</v>
      </c>
      <c r="B40" s="264"/>
      <c r="C40" s="264"/>
      <c r="D40" s="272"/>
      <c r="E40" s="272"/>
      <c r="F40" s="273"/>
      <c r="G40" s="317"/>
    </row>
    <row r="41" spans="1:7" x14ac:dyDescent="0.2">
      <c r="A41" s="294">
        <v>32</v>
      </c>
      <c r="B41" s="264"/>
      <c r="C41" s="274" t="s">
        <v>191</v>
      </c>
      <c r="D41" s="274" t="s">
        <v>192</v>
      </c>
      <c r="E41" s="274"/>
      <c r="F41" s="275"/>
      <c r="G41" s="318"/>
    </row>
    <row r="42" spans="1:7" x14ac:dyDescent="0.2">
      <c r="A42" s="294">
        <v>33</v>
      </c>
      <c r="B42" s="264"/>
      <c r="C42" s="276" t="s">
        <v>193</v>
      </c>
      <c r="D42" s="276" t="s">
        <v>193</v>
      </c>
      <c r="E42" s="276"/>
      <c r="F42" s="277"/>
      <c r="G42" s="319"/>
    </row>
    <row r="43" spans="1:7" x14ac:dyDescent="0.2">
      <c r="A43" s="294">
        <v>34</v>
      </c>
      <c r="B43" s="264"/>
      <c r="C43" s="278" t="s">
        <v>195</v>
      </c>
      <c r="D43" s="279"/>
      <c r="E43" s="279"/>
      <c r="F43" s="274"/>
      <c r="G43" s="320"/>
    </row>
    <row r="44" spans="1:7" x14ac:dyDescent="0.2">
      <c r="A44" s="294">
        <v>35</v>
      </c>
      <c r="B44" s="264" t="s">
        <v>196</v>
      </c>
      <c r="C44" s="260">
        <v>56.918999999999997</v>
      </c>
      <c r="D44" s="260">
        <v>59.844498299364425</v>
      </c>
      <c r="E44" s="260"/>
      <c r="F44" s="260"/>
      <c r="G44" s="321"/>
    </row>
    <row r="45" spans="1:7" x14ac:dyDescent="0.2">
      <c r="A45" s="294">
        <v>36</v>
      </c>
      <c r="B45" s="264" t="s">
        <v>197</v>
      </c>
      <c r="C45" s="260">
        <v>22.166</v>
      </c>
      <c r="D45" s="260">
        <v>23.305</v>
      </c>
      <c r="E45" s="260"/>
      <c r="F45" s="264"/>
      <c r="G45" s="316"/>
    </row>
    <row r="46" spans="1:7" x14ac:dyDescent="0.2">
      <c r="A46" s="294">
        <v>37</v>
      </c>
      <c r="B46" s="264" t="s">
        <v>199</v>
      </c>
      <c r="C46" s="280">
        <v>34.753</v>
      </c>
      <c r="D46" s="280">
        <v>36.539000000000001</v>
      </c>
      <c r="E46" s="260"/>
      <c r="F46" s="264"/>
      <c r="G46" s="316"/>
    </row>
    <row r="47" spans="1:7" x14ac:dyDescent="0.2">
      <c r="A47" s="294">
        <v>38</v>
      </c>
      <c r="B47" s="264" t="s">
        <v>196</v>
      </c>
      <c r="C47" s="260">
        <v>56.918999999999997</v>
      </c>
      <c r="D47" s="260">
        <v>59.844000000000001</v>
      </c>
      <c r="E47" s="260"/>
      <c r="F47" s="260"/>
      <c r="G47" s="321"/>
    </row>
    <row r="48" spans="1:7" x14ac:dyDescent="0.2">
      <c r="A48" s="322"/>
      <c r="B48" s="208"/>
      <c r="C48" s="208"/>
      <c r="D48" s="208"/>
      <c r="E48" s="208"/>
      <c r="F48" s="208"/>
      <c r="G48" s="323"/>
    </row>
    <row r="49" spans="1:7" x14ac:dyDescent="0.2">
      <c r="A49" s="250"/>
      <c r="B49" s="224"/>
      <c r="C49" s="286"/>
      <c r="D49" s="286"/>
      <c r="E49" s="281"/>
      <c r="F49" s="281"/>
      <c r="G49" s="281"/>
    </row>
    <row r="50" spans="1:7" x14ac:dyDescent="0.2">
      <c r="A50" s="250"/>
      <c r="B50" s="286"/>
      <c r="C50" s="286"/>
      <c r="D50" s="286"/>
      <c r="E50" s="281"/>
      <c r="F50" s="281"/>
      <c r="G50" s="281"/>
    </row>
    <row r="51" spans="1:7" ht="12" thickBot="1" x14ac:dyDescent="0.25">
      <c r="A51" s="250"/>
      <c r="B51" s="282"/>
      <c r="C51" s="232"/>
      <c r="D51" s="225" t="s">
        <v>202</v>
      </c>
      <c r="E51" s="281"/>
      <c r="F51" s="281"/>
      <c r="G51" s="281"/>
    </row>
    <row r="52" spans="1:7" x14ac:dyDescent="0.2">
      <c r="A52" s="250"/>
      <c r="B52" s="226" t="s">
        <v>203</v>
      </c>
      <c r="C52" s="227" t="s">
        <v>204</v>
      </c>
      <c r="D52" s="228" t="s">
        <v>205</v>
      </c>
      <c r="E52" s="281"/>
      <c r="F52" s="281"/>
      <c r="G52" s="281"/>
    </row>
    <row r="53" spans="1:7" x14ac:dyDescent="0.2">
      <c r="A53" s="250"/>
      <c r="B53" s="229" t="s">
        <v>207</v>
      </c>
      <c r="C53" s="230">
        <v>407</v>
      </c>
      <c r="D53" s="330">
        <v>4459451.03318753</v>
      </c>
      <c r="E53" s="281"/>
      <c r="F53" s="281"/>
      <c r="G53" s="281"/>
    </row>
    <row r="54" spans="1:7" x14ac:dyDescent="0.2">
      <c r="A54" s="250"/>
      <c r="B54" s="231" t="s">
        <v>208</v>
      </c>
      <c r="C54" s="225">
        <v>407.3</v>
      </c>
      <c r="D54" s="331">
        <v>687420</v>
      </c>
      <c r="E54" s="281"/>
      <c r="F54" s="281"/>
      <c r="G54" s="281"/>
    </row>
    <row r="55" spans="1:7" x14ac:dyDescent="0.2">
      <c r="A55" s="250"/>
      <c r="B55" s="231" t="s">
        <v>210</v>
      </c>
      <c r="C55" s="225">
        <v>407.3</v>
      </c>
      <c r="D55" s="331">
        <v>2885052</v>
      </c>
      <c r="E55" s="281"/>
      <c r="F55" s="281"/>
      <c r="G55" s="281"/>
    </row>
    <row r="56" spans="1:7" ht="12" thickBot="1" x14ac:dyDescent="0.25">
      <c r="A56" s="250"/>
      <c r="B56" s="231" t="s">
        <v>211</v>
      </c>
      <c r="C56" s="232"/>
      <c r="D56" s="233">
        <v>8031923.03318753</v>
      </c>
      <c r="E56" s="281"/>
      <c r="F56" s="281"/>
      <c r="G56" s="281"/>
    </row>
    <row r="57" spans="1:7" ht="12.75" thickTop="1" thickBot="1" x14ac:dyDescent="0.25">
      <c r="A57" s="250"/>
      <c r="B57" s="234"/>
      <c r="C57" s="235" t="s">
        <v>213</v>
      </c>
      <c r="D57" s="236">
        <v>0</v>
      </c>
      <c r="E57" s="281"/>
      <c r="F57" s="281"/>
      <c r="G57" s="281"/>
    </row>
    <row r="58" spans="1:7" x14ac:dyDescent="0.2">
      <c r="A58" s="250"/>
      <c r="B58" s="286"/>
      <c r="C58" s="286"/>
      <c r="D58" s="286"/>
      <c r="E58" s="281"/>
      <c r="F58" s="281"/>
      <c r="G58" s="281"/>
    </row>
    <row r="59" spans="1:7" x14ac:dyDescent="0.2">
      <c r="A59" s="250"/>
      <c r="B59" s="281"/>
      <c r="C59" s="281"/>
      <c r="D59" s="281"/>
      <c r="E59" s="286"/>
      <c r="F59" s="286"/>
      <c r="G59" s="286"/>
    </row>
    <row r="60" spans="1:7" x14ac:dyDescent="0.2">
      <c r="A60" s="250"/>
      <c r="B60" s="281"/>
      <c r="C60" s="281"/>
      <c r="D60" s="281"/>
      <c r="E60" s="286"/>
      <c r="F60" s="286"/>
      <c r="G60" s="286"/>
    </row>
    <row r="61" spans="1:7" x14ac:dyDescent="0.2">
      <c r="A61" s="250"/>
      <c r="B61" s="281"/>
      <c r="C61" s="281"/>
      <c r="D61" s="284"/>
      <c r="E61" s="286"/>
      <c r="F61" s="286"/>
      <c r="G61" s="286"/>
    </row>
    <row r="62" spans="1:7" x14ac:dyDescent="0.2">
      <c r="A62" s="250"/>
      <c r="B62" s="281"/>
      <c r="C62" s="281"/>
      <c r="D62" s="284"/>
      <c r="E62" s="286"/>
      <c r="F62" s="286"/>
      <c r="G62" s="286"/>
    </row>
    <row r="63" spans="1:7" x14ac:dyDescent="0.2">
      <c r="A63" s="250"/>
      <c r="B63" s="281"/>
      <c r="C63" s="281"/>
      <c r="D63" s="281"/>
      <c r="E63" s="286"/>
      <c r="F63" s="286"/>
      <c r="G63" s="286"/>
    </row>
    <row r="64" spans="1:7" x14ac:dyDescent="0.2">
      <c r="A64" s="250"/>
      <c r="B64" s="281"/>
      <c r="C64" s="281"/>
      <c r="D64" s="281"/>
      <c r="E64" s="286"/>
      <c r="F64" s="286"/>
      <c r="G64" s="286"/>
    </row>
    <row r="65" spans="1:7" x14ac:dyDescent="0.2">
      <c r="A65" s="250"/>
      <c r="B65" s="281"/>
      <c r="C65" s="281"/>
      <c r="D65" s="281"/>
      <c r="E65" s="286"/>
      <c r="F65" s="286"/>
      <c r="G65" s="286"/>
    </row>
    <row r="66" spans="1:7" x14ac:dyDescent="0.2">
      <c r="A66" s="250"/>
      <c r="B66" s="281"/>
      <c r="C66" s="281"/>
      <c r="D66" s="281"/>
      <c r="E66" s="286"/>
      <c r="F66" s="286"/>
      <c r="G66" s="286"/>
    </row>
    <row r="67" spans="1:7" x14ac:dyDescent="0.2">
      <c r="A67" s="250"/>
      <c r="B67" s="281"/>
      <c r="C67" s="281"/>
      <c r="D67" s="281"/>
      <c r="E67" s="286"/>
      <c r="F67" s="286"/>
      <c r="G67" s="286"/>
    </row>
    <row r="68" spans="1:7" x14ac:dyDescent="0.2">
      <c r="A68" s="250"/>
      <c r="B68" s="281"/>
      <c r="C68" s="281"/>
      <c r="D68" s="281"/>
      <c r="E68" s="286"/>
      <c r="F68" s="286"/>
      <c r="G68" s="286"/>
    </row>
    <row r="69" spans="1:7" x14ac:dyDescent="0.2">
      <c r="A69" s="250"/>
      <c r="B69" s="281"/>
      <c r="C69" s="281"/>
      <c r="D69" s="281"/>
      <c r="E69" s="286"/>
      <c r="F69" s="286"/>
      <c r="G69" s="286"/>
    </row>
    <row r="70" spans="1:7" x14ac:dyDescent="0.2">
      <c r="A70" s="250"/>
      <c r="B70" s="281"/>
      <c r="C70" s="281"/>
      <c r="D70" s="281"/>
      <c r="E70" s="286"/>
      <c r="F70" s="286"/>
      <c r="G70" s="286"/>
    </row>
    <row r="71" spans="1:7" x14ac:dyDescent="0.2">
      <c r="A71" s="250"/>
      <c r="B71" s="281"/>
      <c r="C71" s="281"/>
      <c r="D71" s="281"/>
      <c r="E71" s="286"/>
      <c r="F71" s="286"/>
      <c r="G71" s="286"/>
    </row>
    <row r="72" spans="1:7" x14ac:dyDescent="0.2">
      <c r="A72" s="250"/>
      <c r="B72" s="281"/>
      <c r="C72" s="281"/>
      <c r="D72" s="281"/>
      <c r="E72" s="286"/>
      <c r="F72" s="286"/>
      <c r="G72" s="286"/>
    </row>
    <row r="73" spans="1:7" x14ac:dyDescent="0.2">
      <c r="A73" s="250"/>
      <c r="B73" s="281"/>
      <c r="C73" s="281"/>
      <c r="D73" s="281"/>
      <c r="E73" s="286"/>
      <c r="F73" s="286"/>
      <c r="G73" s="286"/>
    </row>
    <row r="74" spans="1:7" x14ac:dyDescent="0.2">
      <c r="A74" s="250"/>
      <c r="B74" s="281"/>
      <c r="C74" s="281"/>
      <c r="D74" s="281"/>
      <c r="E74" s="286"/>
      <c r="F74" s="286"/>
      <c r="G74" s="286"/>
    </row>
    <row r="75" spans="1:7" x14ac:dyDescent="0.2">
      <c r="A75" s="250"/>
      <c r="B75" s="281"/>
      <c r="C75" s="281"/>
      <c r="D75" s="281"/>
      <c r="E75" s="286"/>
      <c r="F75" s="286"/>
      <c r="G75" s="286"/>
    </row>
    <row r="76" spans="1:7" x14ac:dyDescent="0.2">
      <c r="A76" s="250"/>
      <c r="B76" s="281"/>
      <c r="C76" s="281"/>
      <c r="D76" s="281"/>
      <c r="E76" s="286"/>
      <c r="F76" s="286"/>
      <c r="G76" s="286"/>
    </row>
    <row r="77" spans="1:7" x14ac:dyDescent="0.2">
      <c r="A77" s="250"/>
      <c r="B77" s="281"/>
      <c r="C77" s="281"/>
      <c r="D77" s="281"/>
      <c r="E77" s="286"/>
      <c r="F77" s="286"/>
      <c r="G77" s="286"/>
    </row>
    <row r="78" spans="1:7" x14ac:dyDescent="0.2">
      <c r="A78" s="250"/>
      <c r="B78" s="281"/>
      <c r="C78" s="281"/>
      <c r="D78" s="281"/>
      <c r="E78" s="286"/>
      <c r="F78" s="286"/>
      <c r="G78" s="286"/>
    </row>
    <row r="79" spans="1:7" x14ac:dyDescent="0.2">
      <c r="A79" s="250"/>
      <c r="B79" s="281"/>
      <c r="C79" s="281"/>
      <c r="D79" s="281"/>
      <c r="E79" s="286"/>
      <c r="F79" s="286"/>
      <c r="G79" s="286"/>
    </row>
    <row r="80" spans="1:7" x14ac:dyDescent="0.2">
      <c r="A80" s="250"/>
      <c r="B80" s="281"/>
      <c r="C80" s="281"/>
      <c r="D80" s="281"/>
      <c r="E80" s="286"/>
      <c r="F80" s="286"/>
      <c r="G80" s="286"/>
    </row>
    <row r="81" spans="1:7" x14ac:dyDescent="0.2">
      <c r="A81" s="250"/>
      <c r="B81" s="281"/>
      <c r="C81" s="281"/>
      <c r="D81" s="281"/>
      <c r="E81" s="286"/>
      <c r="F81" s="286"/>
      <c r="G81" s="286"/>
    </row>
    <row r="82" spans="1:7" x14ac:dyDescent="0.2">
      <c r="A82" s="250"/>
      <c r="B82" s="281"/>
      <c r="C82" s="281"/>
      <c r="D82" s="281"/>
      <c r="E82" s="286"/>
      <c r="F82" s="286"/>
      <c r="G82" s="286"/>
    </row>
    <row r="83" spans="1:7" x14ac:dyDescent="0.2">
      <c r="A83" s="250"/>
      <c r="B83" s="286"/>
      <c r="C83" s="246"/>
      <c r="D83" s="246"/>
      <c r="E83" s="286"/>
      <c r="F83" s="286"/>
      <c r="G83" s="286"/>
    </row>
    <row r="84" spans="1:7" x14ac:dyDescent="0.2">
      <c r="A84" s="250"/>
      <c r="B84" s="286"/>
      <c r="C84" s="246"/>
      <c r="D84" s="246"/>
      <c r="E84" s="286"/>
      <c r="F84" s="286"/>
      <c r="G84" s="286"/>
    </row>
    <row r="85" spans="1:7" x14ac:dyDescent="0.2">
      <c r="A85" s="250"/>
      <c r="B85" s="286"/>
      <c r="C85" s="246"/>
      <c r="D85" s="246"/>
      <c r="E85" s="286"/>
      <c r="F85" s="286"/>
      <c r="G85" s="286"/>
    </row>
    <row r="86" spans="1:7" x14ac:dyDescent="0.2">
      <c r="A86" s="250"/>
      <c r="B86" s="286"/>
      <c r="C86" s="246"/>
      <c r="D86" s="246"/>
      <c r="E86" s="286"/>
      <c r="F86" s="286"/>
      <c r="G86" s="286"/>
    </row>
    <row r="87" spans="1:7" x14ac:dyDescent="0.2">
      <c r="A87" s="250"/>
      <c r="B87" s="286"/>
      <c r="C87" s="246"/>
      <c r="D87" s="246"/>
      <c r="E87" s="286"/>
      <c r="F87" s="286"/>
      <c r="G87" s="286"/>
    </row>
    <row r="88" spans="1:7" x14ac:dyDescent="0.2">
      <c r="A88" s="250"/>
      <c r="B88" s="286"/>
      <c r="C88" s="246"/>
      <c r="D88" s="246"/>
      <c r="E88" s="286"/>
      <c r="F88" s="286"/>
      <c r="G88" s="286"/>
    </row>
    <row r="89" spans="1:7" x14ac:dyDescent="0.2">
      <c r="A89" s="250"/>
      <c r="B89" s="286"/>
      <c r="C89" s="246"/>
      <c r="D89" s="246"/>
      <c r="E89" s="286"/>
      <c r="F89" s="286"/>
      <c r="G89" s="286"/>
    </row>
    <row r="90" spans="1:7" x14ac:dyDescent="0.2">
      <c r="A90" s="250"/>
      <c r="B90" s="286"/>
      <c r="C90" s="286"/>
      <c r="D90" s="286"/>
      <c r="E90" s="286"/>
      <c r="F90" s="286"/>
      <c r="G90" s="286"/>
    </row>
    <row r="91" spans="1:7" x14ac:dyDescent="0.2">
      <c r="A91" s="250"/>
      <c r="B91" s="286"/>
      <c r="C91" s="286"/>
      <c r="D91" s="286"/>
      <c r="E91" s="286"/>
      <c r="F91" s="286"/>
      <c r="G91" s="286"/>
    </row>
    <row r="92" spans="1:7" x14ac:dyDescent="0.2">
      <c r="A92" s="250"/>
      <c r="B92" s="286"/>
      <c r="C92" s="286"/>
      <c r="D92" s="286"/>
      <c r="E92" s="286"/>
      <c r="F92" s="286"/>
      <c r="G92" s="286"/>
    </row>
    <row r="93" spans="1:7" x14ac:dyDescent="0.2">
      <c r="A93" s="250"/>
      <c r="B93" s="286"/>
      <c r="C93" s="286"/>
      <c r="D93" s="286"/>
      <c r="E93" s="286"/>
      <c r="F93" s="286"/>
      <c r="G93" s="286"/>
    </row>
    <row r="94" spans="1:7" x14ac:dyDescent="0.2">
      <c r="A94" s="250"/>
      <c r="B94" s="286"/>
      <c r="C94" s="286"/>
      <c r="D94" s="286"/>
      <c r="E94" s="286"/>
      <c r="F94" s="286"/>
      <c r="G94" s="286"/>
    </row>
    <row r="95" spans="1:7" x14ac:dyDescent="0.2">
      <c r="A95" s="250"/>
      <c r="B95" s="286"/>
      <c r="C95" s="286"/>
      <c r="D95" s="286"/>
      <c r="E95" s="286"/>
      <c r="F95" s="286"/>
      <c r="G95" s="286"/>
    </row>
    <row r="96" spans="1:7" x14ac:dyDescent="0.2">
      <c r="A96" s="250"/>
      <c r="B96" s="286"/>
      <c r="C96" s="286"/>
      <c r="D96" s="286"/>
      <c r="E96" s="286"/>
      <c r="F96" s="286"/>
      <c r="G96" s="286"/>
    </row>
    <row r="97" spans="1:7" x14ac:dyDescent="0.2">
      <c r="A97" s="250"/>
      <c r="B97" s="286"/>
      <c r="C97" s="286"/>
      <c r="D97" s="286"/>
      <c r="E97" s="286"/>
      <c r="F97" s="286"/>
      <c r="G97" s="286"/>
    </row>
    <row r="98" spans="1:7" x14ac:dyDescent="0.2">
      <c r="A98" s="250"/>
      <c r="B98" s="286"/>
      <c r="C98" s="286"/>
      <c r="D98" s="286"/>
      <c r="E98" s="286"/>
      <c r="F98" s="286"/>
      <c r="G98" s="286"/>
    </row>
    <row r="99" spans="1:7" x14ac:dyDescent="0.2">
      <c r="A99" s="250"/>
      <c r="B99" s="286"/>
      <c r="C99" s="286"/>
      <c r="D99" s="286"/>
      <c r="E99" s="286"/>
      <c r="F99" s="286"/>
      <c r="G99" s="286"/>
    </row>
    <row r="100" spans="1:7" x14ac:dyDescent="0.2">
      <c r="A100" s="250"/>
      <c r="B100" s="286"/>
      <c r="C100" s="286"/>
      <c r="D100" s="286"/>
      <c r="E100" s="286"/>
      <c r="F100" s="286"/>
      <c r="G100" s="286"/>
    </row>
    <row r="101" spans="1:7" x14ac:dyDescent="0.2">
      <c r="A101" s="250"/>
      <c r="B101" s="286"/>
      <c r="C101" s="286"/>
      <c r="D101" s="286"/>
      <c r="E101" s="286"/>
      <c r="F101" s="286"/>
      <c r="G101" s="286"/>
    </row>
    <row r="102" spans="1:7" x14ac:dyDescent="0.2">
      <c r="A102" s="250"/>
      <c r="B102" s="286"/>
      <c r="C102" s="286"/>
      <c r="D102" s="286"/>
      <c r="E102" s="286"/>
      <c r="F102" s="286"/>
      <c r="G102" s="286"/>
    </row>
    <row r="103" spans="1:7" x14ac:dyDescent="0.2">
      <c r="A103" s="250"/>
      <c r="B103" s="286"/>
      <c r="C103" s="286"/>
      <c r="D103" s="286"/>
      <c r="E103" s="286"/>
      <c r="F103" s="286"/>
      <c r="G103" s="286"/>
    </row>
    <row r="104" spans="1:7" x14ac:dyDescent="0.2">
      <c r="A104" s="250"/>
      <c r="B104" s="286"/>
      <c r="C104" s="286"/>
      <c r="D104" s="286"/>
      <c r="E104" s="286"/>
      <c r="F104" s="286"/>
      <c r="G104" s="286"/>
    </row>
    <row r="105" spans="1:7" x14ac:dyDescent="0.2">
      <c r="A105" s="250"/>
      <c r="B105" s="286"/>
      <c r="C105" s="286"/>
      <c r="D105" s="286"/>
      <c r="E105" s="286"/>
      <c r="F105" s="286"/>
      <c r="G105" s="286"/>
    </row>
    <row r="106" spans="1:7" x14ac:dyDescent="0.2">
      <c r="A106" s="250"/>
      <c r="B106" s="286"/>
      <c r="C106" s="286"/>
      <c r="D106" s="286"/>
      <c r="E106" s="286"/>
      <c r="F106" s="286"/>
      <c r="G106" s="286"/>
    </row>
    <row r="107" spans="1:7" x14ac:dyDescent="0.2">
      <c r="A107" s="250"/>
      <c r="B107" s="286"/>
      <c r="C107" s="286"/>
      <c r="D107" s="286"/>
      <c r="E107" s="286"/>
      <c r="F107" s="286"/>
      <c r="G107" s="286"/>
    </row>
    <row r="108" spans="1:7" x14ac:dyDescent="0.2">
      <c r="A108" s="250"/>
      <c r="B108" s="286"/>
      <c r="C108" s="286"/>
      <c r="D108" s="286"/>
      <c r="E108" s="286"/>
      <c r="F108" s="286"/>
      <c r="G108" s="286"/>
    </row>
    <row r="109" spans="1:7" x14ac:dyDescent="0.2">
      <c r="A109" s="250"/>
      <c r="B109" s="286"/>
      <c r="C109" s="286"/>
      <c r="D109" s="286"/>
      <c r="E109" s="286"/>
      <c r="F109" s="286"/>
      <c r="G109" s="286"/>
    </row>
    <row r="110" spans="1:7" x14ac:dyDescent="0.2">
      <c r="A110" s="250"/>
      <c r="B110" s="286"/>
      <c r="C110" s="286"/>
      <c r="D110" s="286"/>
      <c r="E110" s="286"/>
      <c r="F110" s="286"/>
      <c r="G110" s="286"/>
    </row>
    <row r="111" spans="1:7" x14ac:dyDescent="0.2">
      <c r="A111" s="250"/>
      <c r="B111" s="286"/>
      <c r="C111" s="286"/>
      <c r="D111" s="286"/>
      <c r="E111" s="286"/>
      <c r="F111" s="286"/>
      <c r="G111" s="286"/>
    </row>
    <row r="112" spans="1:7" x14ac:dyDescent="0.2">
      <c r="A112" s="250"/>
      <c r="B112" s="286"/>
      <c r="C112" s="286"/>
      <c r="D112" s="286"/>
      <c r="E112" s="286"/>
      <c r="F112" s="286"/>
      <c r="G112" s="286"/>
    </row>
    <row r="113" spans="1:7" x14ac:dyDescent="0.2">
      <c r="A113" s="250"/>
      <c r="B113" s="286"/>
      <c r="C113" s="286"/>
      <c r="D113" s="286"/>
      <c r="E113" s="286"/>
      <c r="F113" s="286"/>
      <c r="G113" s="286"/>
    </row>
    <row r="114" spans="1:7" x14ac:dyDescent="0.2">
      <c r="A114" s="250"/>
      <c r="B114" s="286"/>
      <c r="C114" s="286"/>
      <c r="D114" s="286"/>
      <c r="E114" s="286"/>
      <c r="F114" s="286"/>
      <c r="G114" s="286"/>
    </row>
    <row r="115" spans="1:7" x14ac:dyDescent="0.2">
      <c r="A115" s="250"/>
      <c r="B115" s="286"/>
      <c r="C115" s="286"/>
      <c r="D115" s="286"/>
      <c r="E115" s="286"/>
      <c r="F115" s="286"/>
      <c r="G115" s="286"/>
    </row>
    <row r="116" spans="1:7" x14ac:dyDescent="0.2">
      <c r="A116" s="250"/>
      <c r="B116" s="286"/>
      <c r="C116" s="286"/>
      <c r="D116" s="286"/>
      <c r="E116" s="286"/>
      <c r="F116" s="286"/>
      <c r="G116" s="286"/>
    </row>
    <row r="117" spans="1:7" x14ac:dyDescent="0.2">
      <c r="A117" s="250"/>
      <c r="B117" s="286"/>
      <c r="C117" s="286"/>
      <c r="D117" s="286"/>
      <c r="E117" s="286"/>
      <c r="F117" s="286"/>
      <c r="G117" s="286"/>
    </row>
    <row r="118" spans="1:7" x14ac:dyDescent="0.2">
      <c r="A118" s="250"/>
      <c r="B118" s="286"/>
      <c r="C118" s="286"/>
      <c r="D118" s="286"/>
      <c r="E118" s="286"/>
      <c r="F118" s="286"/>
      <c r="G118" s="286"/>
    </row>
    <row r="119" spans="1:7" x14ac:dyDescent="0.2">
      <c r="A119" s="250"/>
      <c r="B119" s="286"/>
      <c r="C119" s="286"/>
      <c r="D119" s="286"/>
      <c r="E119" s="286"/>
      <c r="F119" s="286"/>
      <c r="G119" s="286"/>
    </row>
    <row r="120" spans="1:7" x14ac:dyDescent="0.2">
      <c r="A120" s="250"/>
      <c r="B120" s="286"/>
      <c r="C120" s="286"/>
      <c r="D120" s="286"/>
      <c r="E120" s="286"/>
      <c r="F120" s="286"/>
      <c r="G120" s="286"/>
    </row>
    <row r="121" spans="1:7" x14ac:dyDescent="0.2">
      <c r="A121" s="250"/>
      <c r="B121" s="286"/>
      <c r="C121" s="286"/>
      <c r="D121" s="286"/>
      <c r="E121" s="286"/>
      <c r="F121" s="286"/>
      <c r="G121" s="286"/>
    </row>
    <row r="122" spans="1:7" x14ac:dyDescent="0.2">
      <c r="A122" s="250"/>
      <c r="B122" s="286"/>
      <c r="C122" s="286"/>
      <c r="D122" s="286"/>
      <c r="E122" s="286"/>
      <c r="F122" s="286"/>
      <c r="G122" s="286"/>
    </row>
    <row r="123" spans="1:7" x14ac:dyDescent="0.2">
      <c r="A123" s="250"/>
      <c r="B123" s="286"/>
      <c r="C123" s="286"/>
      <c r="D123" s="286"/>
      <c r="E123" s="286"/>
      <c r="F123" s="286"/>
      <c r="G123" s="286"/>
    </row>
    <row r="124" spans="1:7" x14ac:dyDescent="0.2">
      <c r="A124" s="250"/>
      <c r="B124" s="286"/>
      <c r="C124" s="286"/>
      <c r="D124" s="286"/>
      <c r="E124" s="286"/>
      <c r="F124" s="286"/>
      <c r="G124" s="286"/>
    </row>
    <row r="125" spans="1:7" x14ac:dyDescent="0.2">
      <c r="A125" s="250"/>
      <c r="B125" s="286"/>
      <c r="C125" s="286"/>
      <c r="D125" s="286"/>
      <c r="E125" s="286"/>
      <c r="F125" s="286"/>
      <c r="G125" s="286"/>
    </row>
    <row r="126" spans="1:7" x14ac:dyDescent="0.2">
      <c r="A126" s="250"/>
      <c r="B126" s="286"/>
      <c r="C126" s="286"/>
      <c r="D126" s="286"/>
      <c r="E126" s="286"/>
      <c r="F126" s="286"/>
      <c r="G126" s="286"/>
    </row>
    <row r="127" spans="1:7" x14ac:dyDescent="0.2">
      <c r="A127" s="250"/>
      <c r="B127" s="286"/>
      <c r="C127" s="286"/>
      <c r="D127" s="286"/>
      <c r="E127" s="286"/>
      <c r="F127" s="286"/>
      <c r="G127" s="286"/>
    </row>
    <row r="128" spans="1:7" x14ac:dyDescent="0.2">
      <c r="A128" s="250"/>
      <c r="B128" s="286"/>
      <c r="C128" s="286"/>
      <c r="D128" s="286"/>
      <c r="E128" s="286"/>
      <c r="F128" s="286"/>
      <c r="G128" s="286"/>
    </row>
    <row r="129" spans="1:7" x14ac:dyDescent="0.2">
      <c r="A129" s="250"/>
      <c r="B129" s="286"/>
      <c r="C129" s="286"/>
      <c r="D129" s="286"/>
      <c r="E129" s="286"/>
      <c r="F129" s="286"/>
      <c r="G129" s="286"/>
    </row>
    <row r="130" spans="1:7" x14ac:dyDescent="0.2">
      <c r="A130" s="250"/>
      <c r="B130" s="286"/>
      <c r="C130" s="286"/>
      <c r="D130" s="286"/>
      <c r="E130" s="286"/>
      <c r="F130" s="286"/>
      <c r="G130" s="286"/>
    </row>
    <row r="131" spans="1:7" x14ac:dyDescent="0.2">
      <c r="A131" s="250"/>
      <c r="B131" s="286"/>
      <c r="C131" s="286"/>
      <c r="D131" s="286"/>
      <c r="E131" s="286"/>
      <c r="F131" s="286"/>
      <c r="G131" s="286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C17" sqref="C16:C17"/>
    </sheetView>
  </sheetViews>
  <sheetFormatPr defaultRowHeight="11.25" x14ac:dyDescent="0.2"/>
  <cols>
    <col min="1" max="1" width="4" style="24" bestFit="1" customWidth="1"/>
    <col min="2" max="2" width="29.28515625" style="24" bestFit="1" customWidth="1"/>
    <col min="3" max="3" width="13" style="24" bestFit="1" customWidth="1"/>
    <col min="4" max="4" width="1" style="24" customWidth="1"/>
    <col min="5" max="5" width="13.28515625" style="24" bestFit="1" customWidth="1"/>
    <col min="6" max="6" width="12" style="24" bestFit="1" customWidth="1"/>
    <col min="7" max="8" width="15.140625" style="24" bestFit="1" customWidth="1"/>
    <col min="9" max="9" width="13.42578125" style="24" bestFit="1" customWidth="1"/>
    <col min="10" max="10" width="11.28515625" style="24" bestFit="1" customWidth="1"/>
    <col min="11" max="11" width="10.7109375" style="24" bestFit="1" customWidth="1"/>
    <col min="12" max="12" width="9.85546875" style="24" bestFit="1" customWidth="1"/>
    <col min="13" max="13" width="11.42578125" style="24" bestFit="1" customWidth="1"/>
    <col min="14" max="16" width="10.7109375" style="24" bestFit="1" customWidth="1"/>
    <col min="17" max="255" width="8.85546875" style="24"/>
    <col min="256" max="256" width="5.28515625" style="24" customWidth="1"/>
    <col min="257" max="257" width="37.28515625" style="24" bestFit="1" customWidth="1"/>
    <col min="258" max="258" width="15.28515625" style="24" customWidth="1"/>
    <col min="259" max="259" width="3.28515625" style="24" customWidth="1"/>
    <col min="260" max="262" width="15.28515625" style="24" customWidth="1"/>
    <col min="263" max="263" width="14" style="24" customWidth="1"/>
    <col min="264" max="264" width="14.28515625" style="24" customWidth="1"/>
    <col min="265" max="265" width="11.85546875" style="24" customWidth="1"/>
    <col min="266" max="266" width="14.42578125" style="24" customWidth="1"/>
    <col min="267" max="267" width="12.5703125" style="24" customWidth="1"/>
    <col min="268" max="270" width="15.28515625" style="24" customWidth="1"/>
    <col min="271" max="271" width="12.42578125" style="24" customWidth="1"/>
    <col min="272" max="272" width="15.28515625" style="24" customWidth="1"/>
    <col min="273" max="511" width="8.85546875" style="24"/>
    <col min="512" max="512" width="5.28515625" style="24" customWidth="1"/>
    <col min="513" max="513" width="37.28515625" style="24" bestFit="1" customWidth="1"/>
    <col min="514" max="514" width="15.28515625" style="24" customWidth="1"/>
    <col min="515" max="515" width="3.28515625" style="24" customWidth="1"/>
    <col min="516" max="518" width="15.28515625" style="24" customWidth="1"/>
    <col min="519" max="519" width="14" style="24" customWidth="1"/>
    <col min="520" max="520" width="14.28515625" style="24" customWidth="1"/>
    <col min="521" max="521" width="11.85546875" style="24" customWidth="1"/>
    <col min="522" max="522" width="14.42578125" style="24" customWidth="1"/>
    <col min="523" max="523" width="12.5703125" style="24" customWidth="1"/>
    <col min="524" max="526" width="15.28515625" style="24" customWidth="1"/>
    <col min="527" max="527" width="12.42578125" style="24" customWidth="1"/>
    <col min="528" max="528" width="15.28515625" style="24" customWidth="1"/>
    <col min="529" max="767" width="8.85546875" style="24"/>
    <col min="768" max="768" width="5.28515625" style="24" customWidth="1"/>
    <col min="769" max="769" width="37.28515625" style="24" bestFit="1" customWidth="1"/>
    <col min="770" max="770" width="15.28515625" style="24" customWidth="1"/>
    <col min="771" max="771" width="3.28515625" style="24" customWidth="1"/>
    <col min="772" max="774" width="15.28515625" style="24" customWidth="1"/>
    <col min="775" max="775" width="14" style="24" customWidth="1"/>
    <col min="776" max="776" width="14.28515625" style="24" customWidth="1"/>
    <col min="777" max="777" width="11.85546875" style="24" customWidth="1"/>
    <col min="778" max="778" width="14.42578125" style="24" customWidth="1"/>
    <col min="779" max="779" width="12.5703125" style="24" customWidth="1"/>
    <col min="780" max="782" width="15.28515625" style="24" customWidth="1"/>
    <col min="783" max="783" width="12.42578125" style="24" customWidth="1"/>
    <col min="784" max="784" width="15.28515625" style="24" customWidth="1"/>
    <col min="785" max="1023" width="8.85546875" style="24"/>
    <col min="1024" max="1024" width="5.28515625" style="24" customWidth="1"/>
    <col min="1025" max="1025" width="37.28515625" style="24" bestFit="1" customWidth="1"/>
    <col min="1026" max="1026" width="15.28515625" style="24" customWidth="1"/>
    <col min="1027" max="1027" width="3.28515625" style="24" customWidth="1"/>
    <col min="1028" max="1030" width="15.28515625" style="24" customWidth="1"/>
    <col min="1031" max="1031" width="14" style="24" customWidth="1"/>
    <col min="1032" max="1032" width="14.28515625" style="24" customWidth="1"/>
    <col min="1033" max="1033" width="11.85546875" style="24" customWidth="1"/>
    <col min="1034" max="1034" width="14.42578125" style="24" customWidth="1"/>
    <col min="1035" max="1035" width="12.5703125" style="24" customWidth="1"/>
    <col min="1036" max="1038" width="15.28515625" style="24" customWidth="1"/>
    <col min="1039" max="1039" width="12.42578125" style="24" customWidth="1"/>
    <col min="1040" max="1040" width="15.28515625" style="24" customWidth="1"/>
    <col min="1041" max="1279" width="8.85546875" style="24"/>
    <col min="1280" max="1280" width="5.28515625" style="24" customWidth="1"/>
    <col min="1281" max="1281" width="37.28515625" style="24" bestFit="1" customWidth="1"/>
    <col min="1282" max="1282" width="15.28515625" style="24" customWidth="1"/>
    <col min="1283" max="1283" width="3.28515625" style="24" customWidth="1"/>
    <col min="1284" max="1286" width="15.28515625" style="24" customWidth="1"/>
    <col min="1287" max="1287" width="14" style="24" customWidth="1"/>
    <col min="1288" max="1288" width="14.28515625" style="24" customWidth="1"/>
    <col min="1289" max="1289" width="11.85546875" style="24" customWidth="1"/>
    <col min="1290" max="1290" width="14.42578125" style="24" customWidth="1"/>
    <col min="1291" max="1291" width="12.5703125" style="24" customWidth="1"/>
    <col min="1292" max="1294" width="15.28515625" style="24" customWidth="1"/>
    <col min="1295" max="1295" width="12.42578125" style="24" customWidth="1"/>
    <col min="1296" max="1296" width="15.28515625" style="24" customWidth="1"/>
    <col min="1297" max="1535" width="8.85546875" style="24"/>
    <col min="1536" max="1536" width="5.28515625" style="24" customWidth="1"/>
    <col min="1537" max="1537" width="37.28515625" style="24" bestFit="1" customWidth="1"/>
    <col min="1538" max="1538" width="15.28515625" style="24" customWidth="1"/>
    <col min="1539" max="1539" width="3.28515625" style="24" customWidth="1"/>
    <col min="1540" max="1542" width="15.28515625" style="24" customWidth="1"/>
    <col min="1543" max="1543" width="14" style="24" customWidth="1"/>
    <col min="1544" max="1544" width="14.28515625" style="24" customWidth="1"/>
    <col min="1545" max="1545" width="11.85546875" style="24" customWidth="1"/>
    <col min="1546" max="1546" width="14.42578125" style="24" customWidth="1"/>
    <col min="1547" max="1547" width="12.5703125" style="24" customWidth="1"/>
    <col min="1548" max="1550" width="15.28515625" style="24" customWidth="1"/>
    <col min="1551" max="1551" width="12.42578125" style="24" customWidth="1"/>
    <col min="1552" max="1552" width="15.28515625" style="24" customWidth="1"/>
    <col min="1553" max="1791" width="8.85546875" style="24"/>
    <col min="1792" max="1792" width="5.28515625" style="24" customWidth="1"/>
    <col min="1793" max="1793" width="37.28515625" style="24" bestFit="1" customWidth="1"/>
    <col min="1794" max="1794" width="15.28515625" style="24" customWidth="1"/>
    <col min="1795" max="1795" width="3.28515625" style="24" customWidth="1"/>
    <col min="1796" max="1798" width="15.28515625" style="24" customWidth="1"/>
    <col min="1799" max="1799" width="14" style="24" customWidth="1"/>
    <col min="1800" max="1800" width="14.28515625" style="24" customWidth="1"/>
    <col min="1801" max="1801" width="11.85546875" style="24" customWidth="1"/>
    <col min="1802" max="1802" width="14.42578125" style="24" customWidth="1"/>
    <col min="1803" max="1803" width="12.5703125" style="24" customWidth="1"/>
    <col min="1804" max="1806" width="15.28515625" style="24" customWidth="1"/>
    <col min="1807" max="1807" width="12.42578125" style="24" customWidth="1"/>
    <col min="1808" max="1808" width="15.28515625" style="24" customWidth="1"/>
    <col min="1809" max="2047" width="8.85546875" style="24"/>
    <col min="2048" max="2048" width="5.28515625" style="24" customWidth="1"/>
    <col min="2049" max="2049" width="37.28515625" style="24" bestFit="1" customWidth="1"/>
    <col min="2050" max="2050" width="15.28515625" style="24" customWidth="1"/>
    <col min="2051" max="2051" width="3.28515625" style="24" customWidth="1"/>
    <col min="2052" max="2054" width="15.28515625" style="24" customWidth="1"/>
    <col min="2055" max="2055" width="14" style="24" customWidth="1"/>
    <col min="2056" max="2056" width="14.28515625" style="24" customWidth="1"/>
    <col min="2057" max="2057" width="11.85546875" style="24" customWidth="1"/>
    <col min="2058" max="2058" width="14.42578125" style="24" customWidth="1"/>
    <col min="2059" max="2059" width="12.5703125" style="24" customWidth="1"/>
    <col min="2060" max="2062" width="15.28515625" style="24" customWidth="1"/>
    <col min="2063" max="2063" width="12.42578125" style="24" customWidth="1"/>
    <col min="2064" max="2064" width="15.28515625" style="24" customWidth="1"/>
    <col min="2065" max="2303" width="8.85546875" style="24"/>
    <col min="2304" max="2304" width="5.28515625" style="24" customWidth="1"/>
    <col min="2305" max="2305" width="37.28515625" style="24" bestFit="1" customWidth="1"/>
    <col min="2306" max="2306" width="15.28515625" style="24" customWidth="1"/>
    <col min="2307" max="2307" width="3.28515625" style="24" customWidth="1"/>
    <col min="2308" max="2310" width="15.28515625" style="24" customWidth="1"/>
    <col min="2311" max="2311" width="14" style="24" customWidth="1"/>
    <col min="2312" max="2312" width="14.28515625" style="24" customWidth="1"/>
    <col min="2313" max="2313" width="11.85546875" style="24" customWidth="1"/>
    <col min="2314" max="2314" width="14.42578125" style="24" customWidth="1"/>
    <col min="2315" max="2315" width="12.5703125" style="24" customWidth="1"/>
    <col min="2316" max="2318" width="15.28515625" style="24" customWidth="1"/>
    <col min="2319" max="2319" width="12.42578125" style="24" customWidth="1"/>
    <col min="2320" max="2320" width="15.28515625" style="24" customWidth="1"/>
    <col min="2321" max="2559" width="8.85546875" style="24"/>
    <col min="2560" max="2560" width="5.28515625" style="24" customWidth="1"/>
    <col min="2561" max="2561" width="37.28515625" style="24" bestFit="1" customWidth="1"/>
    <col min="2562" max="2562" width="15.28515625" style="24" customWidth="1"/>
    <col min="2563" max="2563" width="3.28515625" style="24" customWidth="1"/>
    <col min="2564" max="2566" width="15.28515625" style="24" customWidth="1"/>
    <col min="2567" max="2567" width="14" style="24" customWidth="1"/>
    <col min="2568" max="2568" width="14.28515625" style="24" customWidth="1"/>
    <col min="2569" max="2569" width="11.85546875" style="24" customWidth="1"/>
    <col min="2570" max="2570" width="14.42578125" style="24" customWidth="1"/>
    <col min="2571" max="2571" width="12.5703125" style="24" customWidth="1"/>
    <col min="2572" max="2574" width="15.28515625" style="24" customWidth="1"/>
    <col min="2575" max="2575" width="12.42578125" style="24" customWidth="1"/>
    <col min="2576" max="2576" width="15.28515625" style="24" customWidth="1"/>
    <col min="2577" max="2815" width="8.85546875" style="24"/>
    <col min="2816" max="2816" width="5.28515625" style="24" customWidth="1"/>
    <col min="2817" max="2817" width="37.28515625" style="24" bestFit="1" customWidth="1"/>
    <col min="2818" max="2818" width="15.28515625" style="24" customWidth="1"/>
    <col min="2819" max="2819" width="3.28515625" style="24" customWidth="1"/>
    <col min="2820" max="2822" width="15.28515625" style="24" customWidth="1"/>
    <col min="2823" max="2823" width="14" style="24" customWidth="1"/>
    <col min="2824" max="2824" width="14.28515625" style="24" customWidth="1"/>
    <col min="2825" max="2825" width="11.85546875" style="24" customWidth="1"/>
    <col min="2826" max="2826" width="14.42578125" style="24" customWidth="1"/>
    <col min="2827" max="2827" width="12.5703125" style="24" customWidth="1"/>
    <col min="2828" max="2830" width="15.28515625" style="24" customWidth="1"/>
    <col min="2831" max="2831" width="12.42578125" style="24" customWidth="1"/>
    <col min="2832" max="2832" width="15.28515625" style="24" customWidth="1"/>
    <col min="2833" max="3071" width="8.85546875" style="24"/>
    <col min="3072" max="3072" width="5.28515625" style="24" customWidth="1"/>
    <col min="3073" max="3073" width="37.28515625" style="24" bestFit="1" customWidth="1"/>
    <col min="3074" max="3074" width="15.28515625" style="24" customWidth="1"/>
    <col min="3075" max="3075" width="3.28515625" style="24" customWidth="1"/>
    <col min="3076" max="3078" width="15.28515625" style="24" customWidth="1"/>
    <col min="3079" max="3079" width="14" style="24" customWidth="1"/>
    <col min="3080" max="3080" width="14.28515625" style="24" customWidth="1"/>
    <col min="3081" max="3081" width="11.85546875" style="24" customWidth="1"/>
    <col min="3082" max="3082" width="14.42578125" style="24" customWidth="1"/>
    <col min="3083" max="3083" width="12.5703125" style="24" customWidth="1"/>
    <col min="3084" max="3086" width="15.28515625" style="24" customWidth="1"/>
    <col min="3087" max="3087" width="12.42578125" style="24" customWidth="1"/>
    <col min="3088" max="3088" width="15.28515625" style="24" customWidth="1"/>
    <col min="3089" max="3327" width="8.85546875" style="24"/>
    <col min="3328" max="3328" width="5.28515625" style="24" customWidth="1"/>
    <col min="3329" max="3329" width="37.28515625" style="24" bestFit="1" customWidth="1"/>
    <col min="3330" max="3330" width="15.28515625" style="24" customWidth="1"/>
    <col min="3331" max="3331" width="3.28515625" style="24" customWidth="1"/>
    <col min="3332" max="3334" width="15.28515625" style="24" customWidth="1"/>
    <col min="3335" max="3335" width="14" style="24" customWidth="1"/>
    <col min="3336" max="3336" width="14.28515625" style="24" customWidth="1"/>
    <col min="3337" max="3337" width="11.85546875" style="24" customWidth="1"/>
    <col min="3338" max="3338" width="14.42578125" style="24" customWidth="1"/>
    <col min="3339" max="3339" width="12.5703125" style="24" customWidth="1"/>
    <col min="3340" max="3342" width="15.28515625" style="24" customWidth="1"/>
    <col min="3343" max="3343" width="12.42578125" style="24" customWidth="1"/>
    <col min="3344" max="3344" width="15.28515625" style="24" customWidth="1"/>
    <col min="3345" max="3583" width="8.85546875" style="24"/>
    <col min="3584" max="3584" width="5.28515625" style="24" customWidth="1"/>
    <col min="3585" max="3585" width="37.28515625" style="24" bestFit="1" customWidth="1"/>
    <col min="3586" max="3586" width="15.28515625" style="24" customWidth="1"/>
    <col min="3587" max="3587" width="3.28515625" style="24" customWidth="1"/>
    <col min="3588" max="3590" width="15.28515625" style="24" customWidth="1"/>
    <col min="3591" max="3591" width="14" style="24" customWidth="1"/>
    <col min="3592" max="3592" width="14.28515625" style="24" customWidth="1"/>
    <col min="3593" max="3593" width="11.85546875" style="24" customWidth="1"/>
    <col min="3594" max="3594" width="14.42578125" style="24" customWidth="1"/>
    <col min="3595" max="3595" width="12.5703125" style="24" customWidth="1"/>
    <col min="3596" max="3598" width="15.28515625" style="24" customWidth="1"/>
    <col min="3599" max="3599" width="12.42578125" style="24" customWidth="1"/>
    <col min="3600" max="3600" width="15.28515625" style="24" customWidth="1"/>
    <col min="3601" max="3839" width="8.85546875" style="24"/>
    <col min="3840" max="3840" width="5.28515625" style="24" customWidth="1"/>
    <col min="3841" max="3841" width="37.28515625" style="24" bestFit="1" customWidth="1"/>
    <col min="3842" max="3842" width="15.28515625" style="24" customWidth="1"/>
    <col min="3843" max="3843" width="3.28515625" style="24" customWidth="1"/>
    <col min="3844" max="3846" width="15.28515625" style="24" customWidth="1"/>
    <col min="3847" max="3847" width="14" style="24" customWidth="1"/>
    <col min="3848" max="3848" width="14.28515625" style="24" customWidth="1"/>
    <col min="3849" max="3849" width="11.85546875" style="24" customWidth="1"/>
    <col min="3850" max="3850" width="14.42578125" style="24" customWidth="1"/>
    <col min="3851" max="3851" width="12.5703125" style="24" customWidth="1"/>
    <col min="3852" max="3854" width="15.28515625" style="24" customWidth="1"/>
    <col min="3855" max="3855" width="12.42578125" style="24" customWidth="1"/>
    <col min="3856" max="3856" width="15.28515625" style="24" customWidth="1"/>
    <col min="3857" max="4095" width="8.85546875" style="24"/>
    <col min="4096" max="4096" width="5.28515625" style="24" customWidth="1"/>
    <col min="4097" max="4097" width="37.28515625" style="24" bestFit="1" customWidth="1"/>
    <col min="4098" max="4098" width="15.28515625" style="24" customWidth="1"/>
    <col min="4099" max="4099" width="3.28515625" style="24" customWidth="1"/>
    <col min="4100" max="4102" width="15.28515625" style="24" customWidth="1"/>
    <col min="4103" max="4103" width="14" style="24" customWidth="1"/>
    <col min="4104" max="4104" width="14.28515625" style="24" customWidth="1"/>
    <col min="4105" max="4105" width="11.85546875" style="24" customWidth="1"/>
    <col min="4106" max="4106" width="14.42578125" style="24" customWidth="1"/>
    <col min="4107" max="4107" width="12.5703125" style="24" customWidth="1"/>
    <col min="4108" max="4110" width="15.28515625" style="24" customWidth="1"/>
    <col min="4111" max="4111" width="12.42578125" style="24" customWidth="1"/>
    <col min="4112" max="4112" width="15.28515625" style="24" customWidth="1"/>
    <col min="4113" max="4351" width="8.85546875" style="24"/>
    <col min="4352" max="4352" width="5.28515625" style="24" customWidth="1"/>
    <col min="4353" max="4353" width="37.28515625" style="24" bestFit="1" customWidth="1"/>
    <col min="4354" max="4354" width="15.28515625" style="24" customWidth="1"/>
    <col min="4355" max="4355" width="3.28515625" style="24" customWidth="1"/>
    <col min="4356" max="4358" width="15.28515625" style="24" customWidth="1"/>
    <col min="4359" max="4359" width="14" style="24" customWidth="1"/>
    <col min="4360" max="4360" width="14.28515625" style="24" customWidth="1"/>
    <col min="4361" max="4361" width="11.85546875" style="24" customWidth="1"/>
    <col min="4362" max="4362" width="14.42578125" style="24" customWidth="1"/>
    <col min="4363" max="4363" width="12.5703125" style="24" customWidth="1"/>
    <col min="4364" max="4366" width="15.28515625" style="24" customWidth="1"/>
    <col min="4367" max="4367" width="12.42578125" style="24" customWidth="1"/>
    <col min="4368" max="4368" width="15.28515625" style="24" customWidth="1"/>
    <col min="4369" max="4607" width="8.85546875" style="24"/>
    <col min="4608" max="4608" width="5.28515625" style="24" customWidth="1"/>
    <col min="4609" max="4609" width="37.28515625" style="24" bestFit="1" customWidth="1"/>
    <col min="4610" max="4610" width="15.28515625" style="24" customWidth="1"/>
    <col min="4611" max="4611" width="3.28515625" style="24" customWidth="1"/>
    <col min="4612" max="4614" width="15.28515625" style="24" customWidth="1"/>
    <col min="4615" max="4615" width="14" style="24" customWidth="1"/>
    <col min="4616" max="4616" width="14.28515625" style="24" customWidth="1"/>
    <col min="4617" max="4617" width="11.85546875" style="24" customWidth="1"/>
    <col min="4618" max="4618" width="14.42578125" style="24" customWidth="1"/>
    <col min="4619" max="4619" width="12.5703125" style="24" customWidth="1"/>
    <col min="4620" max="4622" width="15.28515625" style="24" customWidth="1"/>
    <col min="4623" max="4623" width="12.42578125" style="24" customWidth="1"/>
    <col min="4624" max="4624" width="15.28515625" style="24" customWidth="1"/>
    <col min="4625" max="4863" width="8.85546875" style="24"/>
    <col min="4864" max="4864" width="5.28515625" style="24" customWidth="1"/>
    <col min="4865" max="4865" width="37.28515625" style="24" bestFit="1" customWidth="1"/>
    <col min="4866" max="4866" width="15.28515625" style="24" customWidth="1"/>
    <col min="4867" max="4867" width="3.28515625" style="24" customWidth="1"/>
    <col min="4868" max="4870" width="15.28515625" style="24" customWidth="1"/>
    <col min="4871" max="4871" width="14" style="24" customWidth="1"/>
    <col min="4872" max="4872" width="14.28515625" style="24" customWidth="1"/>
    <col min="4873" max="4873" width="11.85546875" style="24" customWidth="1"/>
    <col min="4874" max="4874" width="14.42578125" style="24" customWidth="1"/>
    <col min="4875" max="4875" width="12.5703125" style="24" customWidth="1"/>
    <col min="4876" max="4878" width="15.28515625" style="24" customWidth="1"/>
    <col min="4879" max="4879" width="12.42578125" style="24" customWidth="1"/>
    <col min="4880" max="4880" width="15.28515625" style="24" customWidth="1"/>
    <col min="4881" max="5119" width="8.85546875" style="24"/>
    <col min="5120" max="5120" width="5.28515625" style="24" customWidth="1"/>
    <col min="5121" max="5121" width="37.28515625" style="24" bestFit="1" customWidth="1"/>
    <col min="5122" max="5122" width="15.28515625" style="24" customWidth="1"/>
    <col min="5123" max="5123" width="3.28515625" style="24" customWidth="1"/>
    <col min="5124" max="5126" width="15.28515625" style="24" customWidth="1"/>
    <col min="5127" max="5127" width="14" style="24" customWidth="1"/>
    <col min="5128" max="5128" width="14.28515625" style="24" customWidth="1"/>
    <col min="5129" max="5129" width="11.85546875" style="24" customWidth="1"/>
    <col min="5130" max="5130" width="14.42578125" style="24" customWidth="1"/>
    <col min="5131" max="5131" width="12.5703125" style="24" customWidth="1"/>
    <col min="5132" max="5134" width="15.28515625" style="24" customWidth="1"/>
    <col min="5135" max="5135" width="12.42578125" style="24" customWidth="1"/>
    <col min="5136" max="5136" width="15.28515625" style="24" customWidth="1"/>
    <col min="5137" max="5375" width="8.85546875" style="24"/>
    <col min="5376" max="5376" width="5.28515625" style="24" customWidth="1"/>
    <col min="5377" max="5377" width="37.28515625" style="24" bestFit="1" customWidth="1"/>
    <col min="5378" max="5378" width="15.28515625" style="24" customWidth="1"/>
    <col min="5379" max="5379" width="3.28515625" style="24" customWidth="1"/>
    <col min="5380" max="5382" width="15.28515625" style="24" customWidth="1"/>
    <col min="5383" max="5383" width="14" style="24" customWidth="1"/>
    <col min="5384" max="5384" width="14.28515625" style="24" customWidth="1"/>
    <col min="5385" max="5385" width="11.85546875" style="24" customWidth="1"/>
    <col min="5386" max="5386" width="14.42578125" style="24" customWidth="1"/>
    <col min="5387" max="5387" width="12.5703125" style="24" customWidth="1"/>
    <col min="5388" max="5390" width="15.28515625" style="24" customWidth="1"/>
    <col min="5391" max="5391" width="12.42578125" style="24" customWidth="1"/>
    <col min="5392" max="5392" width="15.28515625" style="24" customWidth="1"/>
    <col min="5393" max="5631" width="8.85546875" style="24"/>
    <col min="5632" max="5632" width="5.28515625" style="24" customWidth="1"/>
    <col min="5633" max="5633" width="37.28515625" style="24" bestFit="1" customWidth="1"/>
    <col min="5634" max="5634" width="15.28515625" style="24" customWidth="1"/>
    <col min="5635" max="5635" width="3.28515625" style="24" customWidth="1"/>
    <col min="5636" max="5638" width="15.28515625" style="24" customWidth="1"/>
    <col min="5639" max="5639" width="14" style="24" customWidth="1"/>
    <col min="5640" max="5640" width="14.28515625" style="24" customWidth="1"/>
    <col min="5641" max="5641" width="11.85546875" style="24" customWidth="1"/>
    <col min="5642" max="5642" width="14.42578125" style="24" customWidth="1"/>
    <col min="5643" max="5643" width="12.5703125" style="24" customWidth="1"/>
    <col min="5644" max="5646" width="15.28515625" style="24" customWidth="1"/>
    <col min="5647" max="5647" width="12.42578125" style="24" customWidth="1"/>
    <col min="5648" max="5648" width="15.28515625" style="24" customWidth="1"/>
    <col min="5649" max="5887" width="8.85546875" style="24"/>
    <col min="5888" max="5888" width="5.28515625" style="24" customWidth="1"/>
    <col min="5889" max="5889" width="37.28515625" style="24" bestFit="1" customWidth="1"/>
    <col min="5890" max="5890" width="15.28515625" style="24" customWidth="1"/>
    <col min="5891" max="5891" width="3.28515625" style="24" customWidth="1"/>
    <col min="5892" max="5894" width="15.28515625" style="24" customWidth="1"/>
    <col min="5895" max="5895" width="14" style="24" customWidth="1"/>
    <col min="5896" max="5896" width="14.28515625" style="24" customWidth="1"/>
    <col min="5897" max="5897" width="11.85546875" style="24" customWidth="1"/>
    <col min="5898" max="5898" width="14.42578125" style="24" customWidth="1"/>
    <col min="5899" max="5899" width="12.5703125" style="24" customWidth="1"/>
    <col min="5900" max="5902" width="15.28515625" style="24" customWidth="1"/>
    <col min="5903" max="5903" width="12.42578125" style="24" customWidth="1"/>
    <col min="5904" max="5904" width="15.28515625" style="24" customWidth="1"/>
    <col min="5905" max="6143" width="8.85546875" style="24"/>
    <col min="6144" max="6144" width="5.28515625" style="24" customWidth="1"/>
    <col min="6145" max="6145" width="37.28515625" style="24" bestFit="1" customWidth="1"/>
    <col min="6146" max="6146" width="15.28515625" style="24" customWidth="1"/>
    <col min="6147" max="6147" width="3.28515625" style="24" customWidth="1"/>
    <col min="6148" max="6150" width="15.28515625" style="24" customWidth="1"/>
    <col min="6151" max="6151" width="14" style="24" customWidth="1"/>
    <col min="6152" max="6152" width="14.28515625" style="24" customWidth="1"/>
    <col min="6153" max="6153" width="11.85546875" style="24" customWidth="1"/>
    <col min="6154" max="6154" width="14.42578125" style="24" customWidth="1"/>
    <col min="6155" max="6155" width="12.5703125" style="24" customWidth="1"/>
    <col min="6156" max="6158" width="15.28515625" style="24" customWidth="1"/>
    <col min="6159" max="6159" width="12.42578125" style="24" customWidth="1"/>
    <col min="6160" max="6160" width="15.28515625" style="24" customWidth="1"/>
    <col min="6161" max="6399" width="8.85546875" style="24"/>
    <col min="6400" max="6400" width="5.28515625" style="24" customWidth="1"/>
    <col min="6401" max="6401" width="37.28515625" style="24" bestFit="1" customWidth="1"/>
    <col min="6402" max="6402" width="15.28515625" style="24" customWidth="1"/>
    <col min="6403" max="6403" width="3.28515625" style="24" customWidth="1"/>
    <col min="6404" max="6406" width="15.28515625" style="24" customWidth="1"/>
    <col min="6407" max="6407" width="14" style="24" customWidth="1"/>
    <col min="6408" max="6408" width="14.28515625" style="24" customWidth="1"/>
    <col min="6409" max="6409" width="11.85546875" style="24" customWidth="1"/>
    <col min="6410" max="6410" width="14.42578125" style="24" customWidth="1"/>
    <col min="6411" max="6411" width="12.5703125" style="24" customWidth="1"/>
    <col min="6412" max="6414" width="15.28515625" style="24" customWidth="1"/>
    <col min="6415" max="6415" width="12.42578125" style="24" customWidth="1"/>
    <col min="6416" max="6416" width="15.28515625" style="24" customWidth="1"/>
    <col min="6417" max="6655" width="8.85546875" style="24"/>
    <col min="6656" max="6656" width="5.28515625" style="24" customWidth="1"/>
    <col min="6657" max="6657" width="37.28515625" style="24" bestFit="1" customWidth="1"/>
    <col min="6658" max="6658" width="15.28515625" style="24" customWidth="1"/>
    <col min="6659" max="6659" width="3.28515625" style="24" customWidth="1"/>
    <col min="6660" max="6662" width="15.28515625" style="24" customWidth="1"/>
    <col min="6663" max="6663" width="14" style="24" customWidth="1"/>
    <col min="6664" max="6664" width="14.28515625" style="24" customWidth="1"/>
    <col min="6665" max="6665" width="11.85546875" style="24" customWidth="1"/>
    <col min="6666" max="6666" width="14.42578125" style="24" customWidth="1"/>
    <col min="6667" max="6667" width="12.5703125" style="24" customWidth="1"/>
    <col min="6668" max="6670" width="15.28515625" style="24" customWidth="1"/>
    <col min="6671" max="6671" width="12.42578125" style="24" customWidth="1"/>
    <col min="6672" max="6672" width="15.28515625" style="24" customWidth="1"/>
    <col min="6673" max="6911" width="8.85546875" style="24"/>
    <col min="6912" max="6912" width="5.28515625" style="24" customWidth="1"/>
    <col min="6913" max="6913" width="37.28515625" style="24" bestFit="1" customWidth="1"/>
    <col min="6914" max="6914" width="15.28515625" style="24" customWidth="1"/>
    <col min="6915" max="6915" width="3.28515625" style="24" customWidth="1"/>
    <col min="6916" max="6918" width="15.28515625" style="24" customWidth="1"/>
    <col min="6919" max="6919" width="14" style="24" customWidth="1"/>
    <col min="6920" max="6920" width="14.28515625" style="24" customWidth="1"/>
    <col min="6921" max="6921" width="11.85546875" style="24" customWidth="1"/>
    <col min="6922" max="6922" width="14.42578125" style="24" customWidth="1"/>
    <col min="6923" max="6923" width="12.5703125" style="24" customWidth="1"/>
    <col min="6924" max="6926" width="15.28515625" style="24" customWidth="1"/>
    <col min="6927" max="6927" width="12.42578125" style="24" customWidth="1"/>
    <col min="6928" max="6928" width="15.28515625" style="24" customWidth="1"/>
    <col min="6929" max="7167" width="8.85546875" style="24"/>
    <col min="7168" max="7168" width="5.28515625" style="24" customWidth="1"/>
    <col min="7169" max="7169" width="37.28515625" style="24" bestFit="1" customWidth="1"/>
    <col min="7170" max="7170" width="15.28515625" style="24" customWidth="1"/>
    <col min="7171" max="7171" width="3.28515625" style="24" customWidth="1"/>
    <col min="7172" max="7174" width="15.28515625" style="24" customWidth="1"/>
    <col min="7175" max="7175" width="14" style="24" customWidth="1"/>
    <col min="7176" max="7176" width="14.28515625" style="24" customWidth="1"/>
    <col min="7177" max="7177" width="11.85546875" style="24" customWidth="1"/>
    <col min="7178" max="7178" width="14.42578125" style="24" customWidth="1"/>
    <col min="7179" max="7179" width="12.5703125" style="24" customWidth="1"/>
    <col min="7180" max="7182" width="15.28515625" style="24" customWidth="1"/>
    <col min="7183" max="7183" width="12.42578125" style="24" customWidth="1"/>
    <col min="7184" max="7184" width="15.28515625" style="24" customWidth="1"/>
    <col min="7185" max="7423" width="8.85546875" style="24"/>
    <col min="7424" max="7424" width="5.28515625" style="24" customWidth="1"/>
    <col min="7425" max="7425" width="37.28515625" style="24" bestFit="1" customWidth="1"/>
    <col min="7426" max="7426" width="15.28515625" style="24" customWidth="1"/>
    <col min="7427" max="7427" width="3.28515625" style="24" customWidth="1"/>
    <col min="7428" max="7430" width="15.28515625" style="24" customWidth="1"/>
    <col min="7431" max="7431" width="14" style="24" customWidth="1"/>
    <col min="7432" max="7432" width="14.28515625" style="24" customWidth="1"/>
    <col min="7433" max="7433" width="11.85546875" style="24" customWidth="1"/>
    <col min="7434" max="7434" width="14.42578125" style="24" customWidth="1"/>
    <col min="7435" max="7435" width="12.5703125" style="24" customWidth="1"/>
    <col min="7436" max="7438" width="15.28515625" style="24" customWidth="1"/>
    <col min="7439" max="7439" width="12.42578125" style="24" customWidth="1"/>
    <col min="7440" max="7440" width="15.28515625" style="24" customWidth="1"/>
    <col min="7441" max="7679" width="8.85546875" style="24"/>
    <col min="7680" max="7680" width="5.28515625" style="24" customWidth="1"/>
    <col min="7681" max="7681" width="37.28515625" style="24" bestFit="1" customWidth="1"/>
    <col min="7682" max="7682" width="15.28515625" style="24" customWidth="1"/>
    <col min="7683" max="7683" width="3.28515625" style="24" customWidth="1"/>
    <col min="7684" max="7686" width="15.28515625" style="24" customWidth="1"/>
    <col min="7687" max="7687" width="14" style="24" customWidth="1"/>
    <col min="7688" max="7688" width="14.28515625" style="24" customWidth="1"/>
    <col min="7689" max="7689" width="11.85546875" style="24" customWidth="1"/>
    <col min="7690" max="7690" width="14.42578125" style="24" customWidth="1"/>
    <col min="7691" max="7691" width="12.5703125" style="24" customWidth="1"/>
    <col min="7692" max="7694" width="15.28515625" style="24" customWidth="1"/>
    <col min="7695" max="7695" width="12.42578125" style="24" customWidth="1"/>
    <col min="7696" max="7696" width="15.28515625" style="24" customWidth="1"/>
    <col min="7697" max="7935" width="8.85546875" style="24"/>
    <col min="7936" max="7936" width="5.28515625" style="24" customWidth="1"/>
    <col min="7937" max="7937" width="37.28515625" style="24" bestFit="1" customWidth="1"/>
    <col min="7938" max="7938" width="15.28515625" style="24" customWidth="1"/>
    <col min="7939" max="7939" width="3.28515625" style="24" customWidth="1"/>
    <col min="7940" max="7942" width="15.28515625" style="24" customWidth="1"/>
    <col min="7943" max="7943" width="14" style="24" customWidth="1"/>
    <col min="7944" max="7944" width="14.28515625" style="24" customWidth="1"/>
    <col min="7945" max="7945" width="11.85546875" style="24" customWidth="1"/>
    <col min="7946" max="7946" width="14.42578125" style="24" customWidth="1"/>
    <col min="7947" max="7947" width="12.5703125" style="24" customWidth="1"/>
    <col min="7948" max="7950" width="15.28515625" style="24" customWidth="1"/>
    <col min="7951" max="7951" width="12.42578125" style="24" customWidth="1"/>
    <col min="7952" max="7952" width="15.28515625" style="24" customWidth="1"/>
    <col min="7953" max="8191" width="8.85546875" style="24"/>
    <col min="8192" max="8192" width="5.28515625" style="24" customWidth="1"/>
    <col min="8193" max="8193" width="37.28515625" style="24" bestFit="1" customWidth="1"/>
    <col min="8194" max="8194" width="15.28515625" style="24" customWidth="1"/>
    <col min="8195" max="8195" width="3.28515625" style="24" customWidth="1"/>
    <col min="8196" max="8198" width="15.28515625" style="24" customWidth="1"/>
    <col min="8199" max="8199" width="14" style="24" customWidth="1"/>
    <col min="8200" max="8200" width="14.28515625" style="24" customWidth="1"/>
    <col min="8201" max="8201" width="11.85546875" style="24" customWidth="1"/>
    <col min="8202" max="8202" width="14.42578125" style="24" customWidth="1"/>
    <col min="8203" max="8203" width="12.5703125" style="24" customWidth="1"/>
    <col min="8204" max="8206" width="15.28515625" style="24" customWidth="1"/>
    <col min="8207" max="8207" width="12.42578125" style="24" customWidth="1"/>
    <col min="8208" max="8208" width="15.28515625" style="24" customWidth="1"/>
    <col min="8209" max="8447" width="8.85546875" style="24"/>
    <col min="8448" max="8448" width="5.28515625" style="24" customWidth="1"/>
    <col min="8449" max="8449" width="37.28515625" style="24" bestFit="1" customWidth="1"/>
    <col min="8450" max="8450" width="15.28515625" style="24" customWidth="1"/>
    <col min="8451" max="8451" width="3.28515625" style="24" customWidth="1"/>
    <col min="8452" max="8454" width="15.28515625" style="24" customWidth="1"/>
    <col min="8455" max="8455" width="14" style="24" customWidth="1"/>
    <col min="8456" max="8456" width="14.28515625" style="24" customWidth="1"/>
    <col min="8457" max="8457" width="11.85546875" style="24" customWidth="1"/>
    <col min="8458" max="8458" width="14.42578125" style="24" customWidth="1"/>
    <col min="8459" max="8459" width="12.5703125" style="24" customWidth="1"/>
    <col min="8460" max="8462" width="15.28515625" style="24" customWidth="1"/>
    <col min="8463" max="8463" width="12.42578125" style="24" customWidth="1"/>
    <col min="8464" max="8464" width="15.28515625" style="24" customWidth="1"/>
    <col min="8465" max="8703" width="8.85546875" style="24"/>
    <col min="8704" max="8704" width="5.28515625" style="24" customWidth="1"/>
    <col min="8705" max="8705" width="37.28515625" style="24" bestFit="1" customWidth="1"/>
    <col min="8706" max="8706" width="15.28515625" style="24" customWidth="1"/>
    <col min="8707" max="8707" width="3.28515625" style="24" customWidth="1"/>
    <col min="8708" max="8710" width="15.28515625" style="24" customWidth="1"/>
    <col min="8711" max="8711" width="14" style="24" customWidth="1"/>
    <col min="8712" max="8712" width="14.28515625" style="24" customWidth="1"/>
    <col min="8713" max="8713" width="11.85546875" style="24" customWidth="1"/>
    <col min="8714" max="8714" width="14.42578125" style="24" customWidth="1"/>
    <col min="8715" max="8715" width="12.5703125" style="24" customWidth="1"/>
    <col min="8716" max="8718" width="15.28515625" style="24" customWidth="1"/>
    <col min="8719" max="8719" width="12.42578125" style="24" customWidth="1"/>
    <col min="8720" max="8720" width="15.28515625" style="24" customWidth="1"/>
    <col min="8721" max="8959" width="8.85546875" style="24"/>
    <col min="8960" max="8960" width="5.28515625" style="24" customWidth="1"/>
    <col min="8961" max="8961" width="37.28515625" style="24" bestFit="1" customWidth="1"/>
    <col min="8962" max="8962" width="15.28515625" style="24" customWidth="1"/>
    <col min="8963" max="8963" width="3.28515625" style="24" customWidth="1"/>
    <col min="8964" max="8966" width="15.28515625" style="24" customWidth="1"/>
    <col min="8967" max="8967" width="14" style="24" customWidth="1"/>
    <col min="8968" max="8968" width="14.28515625" style="24" customWidth="1"/>
    <col min="8969" max="8969" width="11.85546875" style="24" customWidth="1"/>
    <col min="8970" max="8970" width="14.42578125" style="24" customWidth="1"/>
    <col min="8971" max="8971" width="12.5703125" style="24" customWidth="1"/>
    <col min="8972" max="8974" width="15.28515625" style="24" customWidth="1"/>
    <col min="8975" max="8975" width="12.42578125" style="24" customWidth="1"/>
    <col min="8976" max="8976" width="15.28515625" style="24" customWidth="1"/>
    <col min="8977" max="9215" width="8.85546875" style="24"/>
    <col min="9216" max="9216" width="5.28515625" style="24" customWidth="1"/>
    <col min="9217" max="9217" width="37.28515625" style="24" bestFit="1" customWidth="1"/>
    <col min="9218" max="9218" width="15.28515625" style="24" customWidth="1"/>
    <col min="9219" max="9219" width="3.28515625" style="24" customWidth="1"/>
    <col min="9220" max="9222" width="15.28515625" style="24" customWidth="1"/>
    <col min="9223" max="9223" width="14" style="24" customWidth="1"/>
    <col min="9224" max="9224" width="14.28515625" style="24" customWidth="1"/>
    <col min="9225" max="9225" width="11.85546875" style="24" customWidth="1"/>
    <col min="9226" max="9226" width="14.42578125" style="24" customWidth="1"/>
    <col min="9227" max="9227" width="12.5703125" style="24" customWidth="1"/>
    <col min="9228" max="9230" width="15.28515625" style="24" customWidth="1"/>
    <col min="9231" max="9231" width="12.42578125" style="24" customWidth="1"/>
    <col min="9232" max="9232" width="15.28515625" style="24" customWidth="1"/>
    <col min="9233" max="9471" width="8.85546875" style="24"/>
    <col min="9472" max="9472" width="5.28515625" style="24" customWidth="1"/>
    <col min="9473" max="9473" width="37.28515625" style="24" bestFit="1" customWidth="1"/>
    <col min="9474" max="9474" width="15.28515625" style="24" customWidth="1"/>
    <col min="9475" max="9475" width="3.28515625" style="24" customWidth="1"/>
    <col min="9476" max="9478" width="15.28515625" style="24" customWidth="1"/>
    <col min="9479" max="9479" width="14" style="24" customWidth="1"/>
    <col min="9480" max="9480" width="14.28515625" style="24" customWidth="1"/>
    <col min="9481" max="9481" width="11.85546875" style="24" customWidth="1"/>
    <col min="9482" max="9482" width="14.42578125" style="24" customWidth="1"/>
    <col min="9483" max="9483" width="12.5703125" style="24" customWidth="1"/>
    <col min="9484" max="9486" width="15.28515625" style="24" customWidth="1"/>
    <col min="9487" max="9487" width="12.42578125" style="24" customWidth="1"/>
    <col min="9488" max="9488" width="15.28515625" style="24" customWidth="1"/>
    <col min="9489" max="9727" width="8.85546875" style="24"/>
    <col min="9728" max="9728" width="5.28515625" style="24" customWidth="1"/>
    <col min="9729" max="9729" width="37.28515625" style="24" bestFit="1" customWidth="1"/>
    <col min="9730" max="9730" width="15.28515625" style="24" customWidth="1"/>
    <col min="9731" max="9731" width="3.28515625" style="24" customWidth="1"/>
    <col min="9732" max="9734" width="15.28515625" style="24" customWidth="1"/>
    <col min="9735" max="9735" width="14" style="24" customWidth="1"/>
    <col min="9736" max="9736" width="14.28515625" style="24" customWidth="1"/>
    <col min="9737" max="9737" width="11.85546875" style="24" customWidth="1"/>
    <col min="9738" max="9738" width="14.42578125" style="24" customWidth="1"/>
    <col min="9739" max="9739" width="12.5703125" style="24" customWidth="1"/>
    <col min="9740" max="9742" width="15.28515625" style="24" customWidth="1"/>
    <col min="9743" max="9743" width="12.42578125" style="24" customWidth="1"/>
    <col min="9744" max="9744" width="15.28515625" style="24" customWidth="1"/>
    <col min="9745" max="9983" width="8.85546875" style="24"/>
    <col min="9984" max="9984" width="5.28515625" style="24" customWidth="1"/>
    <col min="9985" max="9985" width="37.28515625" style="24" bestFit="1" customWidth="1"/>
    <col min="9986" max="9986" width="15.28515625" style="24" customWidth="1"/>
    <col min="9987" max="9987" width="3.28515625" style="24" customWidth="1"/>
    <col min="9988" max="9990" width="15.28515625" style="24" customWidth="1"/>
    <col min="9991" max="9991" width="14" style="24" customWidth="1"/>
    <col min="9992" max="9992" width="14.28515625" style="24" customWidth="1"/>
    <col min="9993" max="9993" width="11.85546875" style="24" customWidth="1"/>
    <col min="9994" max="9994" width="14.42578125" style="24" customWidth="1"/>
    <col min="9995" max="9995" width="12.5703125" style="24" customWidth="1"/>
    <col min="9996" max="9998" width="15.28515625" style="24" customWidth="1"/>
    <col min="9999" max="9999" width="12.42578125" style="24" customWidth="1"/>
    <col min="10000" max="10000" width="15.28515625" style="24" customWidth="1"/>
    <col min="10001" max="10239" width="8.85546875" style="24"/>
    <col min="10240" max="10240" width="5.28515625" style="24" customWidth="1"/>
    <col min="10241" max="10241" width="37.28515625" style="24" bestFit="1" customWidth="1"/>
    <col min="10242" max="10242" width="15.28515625" style="24" customWidth="1"/>
    <col min="10243" max="10243" width="3.28515625" style="24" customWidth="1"/>
    <col min="10244" max="10246" width="15.28515625" style="24" customWidth="1"/>
    <col min="10247" max="10247" width="14" style="24" customWidth="1"/>
    <col min="10248" max="10248" width="14.28515625" style="24" customWidth="1"/>
    <col min="10249" max="10249" width="11.85546875" style="24" customWidth="1"/>
    <col min="10250" max="10250" width="14.42578125" style="24" customWidth="1"/>
    <col min="10251" max="10251" width="12.5703125" style="24" customWidth="1"/>
    <col min="10252" max="10254" width="15.28515625" style="24" customWidth="1"/>
    <col min="10255" max="10255" width="12.42578125" style="24" customWidth="1"/>
    <col min="10256" max="10256" width="15.28515625" style="24" customWidth="1"/>
    <col min="10257" max="10495" width="8.85546875" style="24"/>
    <col min="10496" max="10496" width="5.28515625" style="24" customWidth="1"/>
    <col min="10497" max="10497" width="37.28515625" style="24" bestFit="1" customWidth="1"/>
    <col min="10498" max="10498" width="15.28515625" style="24" customWidth="1"/>
    <col min="10499" max="10499" width="3.28515625" style="24" customWidth="1"/>
    <col min="10500" max="10502" width="15.28515625" style="24" customWidth="1"/>
    <col min="10503" max="10503" width="14" style="24" customWidth="1"/>
    <col min="10504" max="10504" width="14.28515625" style="24" customWidth="1"/>
    <col min="10505" max="10505" width="11.85546875" style="24" customWidth="1"/>
    <col min="10506" max="10506" width="14.42578125" style="24" customWidth="1"/>
    <col min="10507" max="10507" width="12.5703125" style="24" customWidth="1"/>
    <col min="10508" max="10510" width="15.28515625" style="24" customWidth="1"/>
    <col min="10511" max="10511" width="12.42578125" style="24" customWidth="1"/>
    <col min="10512" max="10512" width="15.28515625" style="24" customWidth="1"/>
    <col min="10513" max="10751" width="8.85546875" style="24"/>
    <col min="10752" max="10752" width="5.28515625" style="24" customWidth="1"/>
    <col min="10753" max="10753" width="37.28515625" style="24" bestFit="1" customWidth="1"/>
    <col min="10754" max="10754" width="15.28515625" style="24" customWidth="1"/>
    <col min="10755" max="10755" width="3.28515625" style="24" customWidth="1"/>
    <col min="10756" max="10758" width="15.28515625" style="24" customWidth="1"/>
    <col min="10759" max="10759" width="14" style="24" customWidth="1"/>
    <col min="10760" max="10760" width="14.28515625" style="24" customWidth="1"/>
    <col min="10761" max="10761" width="11.85546875" style="24" customWidth="1"/>
    <col min="10762" max="10762" width="14.42578125" style="24" customWidth="1"/>
    <col min="10763" max="10763" width="12.5703125" style="24" customWidth="1"/>
    <col min="10764" max="10766" width="15.28515625" style="24" customWidth="1"/>
    <col min="10767" max="10767" width="12.42578125" style="24" customWidth="1"/>
    <col min="10768" max="10768" width="15.28515625" style="24" customWidth="1"/>
    <col min="10769" max="11007" width="8.85546875" style="24"/>
    <col min="11008" max="11008" width="5.28515625" style="24" customWidth="1"/>
    <col min="11009" max="11009" width="37.28515625" style="24" bestFit="1" customWidth="1"/>
    <col min="11010" max="11010" width="15.28515625" style="24" customWidth="1"/>
    <col min="11011" max="11011" width="3.28515625" style="24" customWidth="1"/>
    <col min="11012" max="11014" width="15.28515625" style="24" customWidth="1"/>
    <col min="11015" max="11015" width="14" style="24" customWidth="1"/>
    <col min="11016" max="11016" width="14.28515625" style="24" customWidth="1"/>
    <col min="11017" max="11017" width="11.85546875" style="24" customWidth="1"/>
    <col min="11018" max="11018" width="14.42578125" style="24" customWidth="1"/>
    <col min="11019" max="11019" width="12.5703125" style="24" customWidth="1"/>
    <col min="11020" max="11022" width="15.28515625" style="24" customWidth="1"/>
    <col min="11023" max="11023" width="12.42578125" style="24" customWidth="1"/>
    <col min="11024" max="11024" width="15.28515625" style="24" customWidth="1"/>
    <col min="11025" max="11263" width="8.85546875" style="24"/>
    <col min="11264" max="11264" width="5.28515625" style="24" customWidth="1"/>
    <col min="11265" max="11265" width="37.28515625" style="24" bestFit="1" customWidth="1"/>
    <col min="11266" max="11266" width="15.28515625" style="24" customWidth="1"/>
    <col min="11267" max="11267" width="3.28515625" style="24" customWidth="1"/>
    <col min="11268" max="11270" width="15.28515625" style="24" customWidth="1"/>
    <col min="11271" max="11271" width="14" style="24" customWidth="1"/>
    <col min="11272" max="11272" width="14.28515625" style="24" customWidth="1"/>
    <col min="11273" max="11273" width="11.85546875" style="24" customWidth="1"/>
    <col min="11274" max="11274" width="14.42578125" style="24" customWidth="1"/>
    <col min="11275" max="11275" width="12.5703125" style="24" customWidth="1"/>
    <col min="11276" max="11278" width="15.28515625" style="24" customWidth="1"/>
    <col min="11279" max="11279" width="12.42578125" style="24" customWidth="1"/>
    <col min="11280" max="11280" width="15.28515625" style="24" customWidth="1"/>
    <col min="11281" max="11519" width="8.85546875" style="24"/>
    <col min="11520" max="11520" width="5.28515625" style="24" customWidth="1"/>
    <col min="11521" max="11521" width="37.28515625" style="24" bestFit="1" customWidth="1"/>
    <col min="11522" max="11522" width="15.28515625" style="24" customWidth="1"/>
    <col min="11523" max="11523" width="3.28515625" style="24" customWidth="1"/>
    <col min="11524" max="11526" width="15.28515625" style="24" customWidth="1"/>
    <col min="11527" max="11527" width="14" style="24" customWidth="1"/>
    <col min="11528" max="11528" width="14.28515625" style="24" customWidth="1"/>
    <col min="11529" max="11529" width="11.85546875" style="24" customWidth="1"/>
    <col min="11530" max="11530" width="14.42578125" style="24" customWidth="1"/>
    <col min="11531" max="11531" width="12.5703125" style="24" customWidth="1"/>
    <col min="11532" max="11534" width="15.28515625" style="24" customWidth="1"/>
    <col min="11535" max="11535" width="12.42578125" style="24" customWidth="1"/>
    <col min="11536" max="11536" width="15.28515625" style="24" customWidth="1"/>
    <col min="11537" max="11775" width="8.85546875" style="24"/>
    <col min="11776" max="11776" width="5.28515625" style="24" customWidth="1"/>
    <col min="11777" max="11777" width="37.28515625" style="24" bestFit="1" customWidth="1"/>
    <col min="11778" max="11778" width="15.28515625" style="24" customWidth="1"/>
    <col min="11779" max="11779" width="3.28515625" style="24" customWidth="1"/>
    <col min="11780" max="11782" width="15.28515625" style="24" customWidth="1"/>
    <col min="11783" max="11783" width="14" style="24" customWidth="1"/>
    <col min="11784" max="11784" width="14.28515625" style="24" customWidth="1"/>
    <col min="11785" max="11785" width="11.85546875" style="24" customWidth="1"/>
    <col min="11786" max="11786" width="14.42578125" style="24" customWidth="1"/>
    <col min="11787" max="11787" width="12.5703125" style="24" customWidth="1"/>
    <col min="11788" max="11790" width="15.28515625" style="24" customWidth="1"/>
    <col min="11791" max="11791" width="12.42578125" style="24" customWidth="1"/>
    <col min="11792" max="11792" width="15.28515625" style="24" customWidth="1"/>
    <col min="11793" max="12031" width="8.85546875" style="24"/>
    <col min="12032" max="12032" width="5.28515625" style="24" customWidth="1"/>
    <col min="12033" max="12033" width="37.28515625" style="24" bestFit="1" customWidth="1"/>
    <col min="12034" max="12034" width="15.28515625" style="24" customWidth="1"/>
    <col min="12035" max="12035" width="3.28515625" style="24" customWidth="1"/>
    <col min="12036" max="12038" width="15.28515625" style="24" customWidth="1"/>
    <col min="12039" max="12039" width="14" style="24" customWidth="1"/>
    <col min="12040" max="12040" width="14.28515625" style="24" customWidth="1"/>
    <col min="12041" max="12041" width="11.85546875" style="24" customWidth="1"/>
    <col min="12042" max="12042" width="14.42578125" style="24" customWidth="1"/>
    <col min="12043" max="12043" width="12.5703125" style="24" customWidth="1"/>
    <col min="12044" max="12046" width="15.28515625" style="24" customWidth="1"/>
    <col min="12047" max="12047" width="12.42578125" style="24" customWidth="1"/>
    <col min="12048" max="12048" width="15.28515625" style="24" customWidth="1"/>
    <col min="12049" max="12287" width="8.85546875" style="24"/>
    <col min="12288" max="12288" width="5.28515625" style="24" customWidth="1"/>
    <col min="12289" max="12289" width="37.28515625" style="24" bestFit="1" customWidth="1"/>
    <col min="12290" max="12290" width="15.28515625" style="24" customWidth="1"/>
    <col min="12291" max="12291" width="3.28515625" style="24" customWidth="1"/>
    <col min="12292" max="12294" width="15.28515625" style="24" customWidth="1"/>
    <col min="12295" max="12295" width="14" style="24" customWidth="1"/>
    <col min="12296" max="12296" width="14.28515625" style="24" customWidth="1"/>
    <col min="12297" max="12297" width="11.85546875" style="24" customWidth="1"/>
    <col min="12298" max="12298" width="14.42578125" style="24" customWidth="1"/>
    <col min="12299" max="12299" width="12.5703125" style="24" customWidth="1"/>
    <col min="12300" max="12302" width="15.28515625" style="24" customWidth="1"/>
    <col min="12303" max="12303" width="12.42578125" style="24" customWidth="1"/>
    <col min="12304" max="12304" width="15.28515625" style="24" customWidth="1"/>
    <col min="12305" max="12543" width="8.85546875" style="24"/>
    <col min="12544" max="12544" width="5.28515625" style="24" customWidth="1"/>
    <col min="12545" max="12545" width="37.28515625" style="24" bestFit="1" customWidth="1"/>
    <col min="12546" max="12546" width="15.28515625" style="24" customWidth="1"/>
    <col min="12547" max="12547" width="3.28515625" style="24" customWidth="1"/>
    <col min="12548" max="12550" width="15.28515625" style="24" customWidth="1"/>
    <col min="12551" max="12551" width="14" style="24" customWidth="1"/>
    <col min="12552" max="12552" width="14.28515625" style="24" customWidth="1"/>
    <col min="12553" max="12553" width="11.85546875" style="24" customWidth="1"/>
    <col min="12554" max="12554" width="14.42578125" style="24" customWidth="1"/>
    <col min="12555" max="12555" width="12.5703125" style="24" customWidth="1"/>
    <col min="12556" max="12558" width="15.28515625" style="24" customWidth="1"/>
    <col min="12559" max="12559" width="12.42578125" style="24" customWidth="1"/>
    <col min="12560" max="12560" width="15.28515625" style="24" customWidth="1"/>
    <col min="12561" max="12799" width="8.85546875" style="24"/>
    <col min="12800" max="12800" width="5.28515625" style="24" customWidth="1"/>
    <col min="12801" max="12801" width="37.28515625" style="24" bestFit="1" customWidth="1"/>
    <col min="12802" max="12802" width="15.28515625" style="24" customWidth="1"/>
    <col min="12803" max="12803" width="3.28515625" style="24" customWidth="1"/>
    <col min="12804" max="12806" width="15.28515625" style="24" customWidth="1"/>
    <col min="12807" max="12807" width="14" style="24" customWidth="1"/>
    <col min="12808" max="12808" width="14.28515625" style="24" customWidth="1"/>
    <col min="12809" max="12809" width="11.85546875" style="24" customWidth="1"/>
    <col min="12810" max="12810" width="14.42578125" style="24" customWidth="1"/>
    <col min="12811" max="12811" width="12.5703125" style="24" customWidth="1"/>
    <col min="12812" max="12814" width="15.28515625" style="24" customWidth="1"/>
    <col min="12815" max="12815" width="12.42578125" style="24" customWidth="1"/>
    <col min="12816" max="12816" width="15.28515625" style="24" customWidth="1"/>
    <col min="12817" max="13055" width="8.85546875" style="24"/>
    <col min="13056" max="13056" width="5.28515625" style="24" customWidth="1"/>
    <col min="13057" max="13057" width="37.28515625" style="24" bestFit="1" customWidth="1"/>
    <col min="13058" max="13058" width="15.28515625" style="24" customWidth="1"/>
    <col min="13059" max="13059" width="3.28515625" style="24" customWidth="1"/>
    <col min="13060" max="13062" width="15.28515625" style="24" customWidth="1"/>
    <col min="13063" max="13063" width="14" style="24" customWidth="1"/>
    <col min="13064" max="13064" width="14.28515625" style="24" customWidth="1"/>
    <col min="13065" max="13065" width="11.85546875" style="24" customWidth="1"/>
    <col min="13066" max="13066" width="14.42578125" style="24" customWidth="1"/>
    <col min="13067" max="13067" width="12.5703125" style="24" customWidth="1"/>
    <col min="13068" max="13070" width="15.28515625" style="24" customWidth="1"/>
    <col min="13071" max="13071" width="12.42578125" style="24" customWidth="1"/>
    <col min="13072" max="13072" width="15.28515625" style="24" customWidth="1"/>
    <col min="13073" max="13311" width="8.85546875" style="24"/>
    <col min="13312" max="13312" width="5.28515625" style="24" customWidth="1"/>
    <col min="13313" max="13313" width="37.28515625" style="24" bestFit="1" customWidth="1"/>
    <col min="13314" max="13314" width="15.28515625" style="24" customWidth="1"/>
    <col min="13315" max="13315" width="3.28515625" style="24" customWidth="1"/>
    <col min="13316" max="13318" width="15.28515625" style="24" customWidth="1"/>
    <col min="13319" max="13319" width="14" style="24" customWidth="1"/>
    <col min="13320" max="13320" width="14.28515625" style="24" customWidth="1"/>
    <col min="13321" max="13321" width="11.85546875" style="24" customWidth="1"/>
    <col min="13322" max="13322" width="14.42578125" style="24" customWidth="1"/>
    <col min="13323" max="13323" width="12.5703125" style="24" customWidth="1"/>
    <col min="13324" max="13326" width="15.28515625" style="24" customWidth="1"/>
    <col min="13327" max="13327" width="12.42578125" style="24" customWidth="1"/>
    <col min="13328" max="13328" width="15.28515625" style="24" customWidth="1"/>
    <col min="13329" max="13567" width="8.85546875" style="24"/>
    <col min="13568" max="13568" width="5.28515625" style="24" customWidth="1"/>
    <col min="13569" max="13569" width="37.28515625" style="24" bestFit="1" customWidth="1"/>
    <col min="13570" max="13570" width="15.28515625" style="24" customWidth="1"/>
    <col min="13571" max="13571" width="3.28515625" style="24" customWidth="1"/>
    <col min="13572" max="13574" width="15.28515625" style="24" customWidth="1"/>
    <col min="13575" max="13575" width="14" style="24" customWidth="1"/>
    <col min="13576" max="13576" width="14.28515625" style="24" customWidth="1"/>
    <col min="13577" max="13577" width="11.85546875" style="24" customWidth="1"/>
    <col min="13578" max="13578" width="14.42578125" style="24" customWidth="1"/>
    <col min="13579" max="13579" width="12.5703125" style="24" customWidth="1"/>
    <col min="13580" max="13582" width="15.28515625" style="24" customWidth="1"/>
    <col min="13583" max="13583" width="12.42578125" style="24" customWidth="1"/>
    <col min="13584" max="13584" width="15.28515625" style="24" customWidth="1"/>
    <col min="13585" max="13823" width="8.85546875" style="24"/>
    <col min="13824" max="13824" width="5.28515625" style="24" customWidth="1"/>
    <col min="13825" max="13825" width="37.28515625" style="24" bestFit="1" customWidth="1"/>
    <col min="13826" max="13826" width="15.28515625" style="24" customWidth="1"/>
    <col min="13827" max="13827" width="3.28515625" style="24" customWidth="1"/>
    <col min="13828" max="13830" width="15.28515625" style="24" customWidth="1"/>
    <col min="13831" max="13831" width="14" style="24" customWidth="1"/>
    <col min="13832" max="13832" width="14.28515625" style="24" customWidth="1"/>
    <col min="13833" max="13833" width="11.85546875" style="24" customWidth="1"/>
    <col min="13834" max="13834" width="14.42578125" style="24" customWidth="1"/>
    <col min="13835" max="13835" width="12.5703125" style="24" customWidth="1"/>
    <col min="13836" max="13838" width="15.28515625" style="24" customWidth="1"/>
    <col min="13839" max="13839" width="12.42578125" style="24" customWidth="1"/>
    <col min="13840" max="13840" width="15.28515625" style="24" customWidth="1"/>
    <col min="13841" max="14079" width="8.85546875" style="24"/>
    <col min="14080" max="14080" width="5.28515625" style="24" customWidth="1"/>
    <col min="14081" max="14081" width="37.28515625" style="24" bestFit="1" customWidth="1"/>
    <col min="14082" max="14082" width="15.28515625" style="24" customWidth="1"/>
    <col min="14083" max="14083" width="3.28515625" style="24" customWidth="1"/>
    <col min="14084" max="14086" width="15.28515625" style="24" customWidth="1"/>
    <col min="14087" max="14087" width="14" style="24" customWidth="1"/>
    <col min="14088" max="14088" width="14.28515625" style="24" customWidth="1"/>
    <col min="14089" max="14089" width="11.85546875" style="24" customWidth="1"/>
    <col min="14090" max="14090" width="14.42578125" style="24" customWidth="1"/>
    <col min="14091" max="14091" width="12.5703125" style="24" customWidth="1"/>
    <col min="14092" max="14094" width="15.28515625" style="24" customWidth="1"/>
    <col min="14095" max="14095" width="12.42578125" style="24" customWidth="1"/>
    <col min="14096" max="14096" width="15.28515625" style="24" customWidth="1"/>
    <col min="14097" max="14335" width="8.85546875" style="24"/>
    <col min="14336" max="14336" width="5.28515625" style="24" customWidth="1"/>
    <col min="14337" max="14337" width="37.28515625" style="24" bestFit="1" customWidth="1"/>
    <col min="14338" max="14338" width="15.28515625" style="24" customWidth="1"/>
    <col min="14339" max="14339" width="3.28515625" style="24" customWidth="1"/>
    <col min="14340" max="14342" width="15.28515625" style="24" customWidth="1"/>
    <col min="14343" max="14343" width="14" style="24" customWidth="1"/>
    <col min="14344" max="14344" width="14.28515625" style="24" customWidth="1"/>
    <col min="14345" max="14345" width="11.85546875" style="24" customWidth="1"/>
    <col min="14346" max="14346" width="14.42578125" style="24" customWidth="1"/>
    <col min="14347" max="14347" width="12.5703125" style="24" customWidth="1"/>
    <col min="14348" max="14350" width="15.28515625" style="24" customWidth="1"/>
    <col min="14351" max="14351" width="12.42578125" style="24" customWidth="1"/>
    <col min="14352" max="14352" width="15.28515625" style="24" customWidth="1"/>
    <col min="14353" max="14591" width="8.85546875" style="24"/>
    <col min="14592" max="14592" width="5.28515625" style="24" customWidth="1"/>
    <col min="14593" max="14593" width="37.28515625" style="24" bestFit="1" customWidth="1"/>
    <col min="14594" max="14594" width="15.28515625" style="24" customWidth="1"/>
    <col min="14595" max="14595" width="3.28515625" style="24" customWidth="1"/>
    <col min="14596" max="14598" width="15.28515625" style="24" customWidth="1"/>
    <col min="14599" max="14599" width="14" style="24" customWidth="1"/>
    <col min="14600" max="14600" width="14.28515625" style="24" customWidth="1"/>
    <col min="14601" max="14601" width="11.85546875" style="24" customWidth="1"/>
    <col min="14602" max="14602" width="14.42578125" style="24" customWidth="1"/>
    <col min="14603" max="14603" width="12.5703125" style="24" customWidth="1"/>
    <col min="14604" max="14606" width="15.28515625" style="24" customWidth="1"/>
    <col min="14607" max="14607" width="12.42578125" style="24" customWidth="1"/>
    <col min="14608" max="14608" width="15.28515625" style="24" customWidth="1"/>
    <col min="14609" max="14847" width="8.85546875" style="24"/>
    <col min="14848" max="14848" width="5.28515625" style="24" customWidth="1"/>
    <col min="14849" max="14849" width="37.28515625" style="24" bestFit="1" customWidth="1"/>
    <col min="14850" max="14850" width="15.28515625" style="24" customWidth="1"/>
    <col min="14851" max="14851" width="3.28515625" style="24" customWidth="1"/>
    <col min="14852" max="14854" width="15.28515625" style="24" customWidth="1"/>
    <col min="14855" max="14855" width="14" style="24" customWidth="1"/>
    <col min="14856" max="14856" width="14.28515625" style="24" customWidth="1"/>
    <col min="14857" max="14857" width="11.85546875" style="24" customWidth="1"/>
    <col min="14858" max="14858" width="14.42578125" style="24" customWidth="1"/>
    <col min="14859" max="14859" width="12.5703125" style="24" customWidth="1"/>
    <col min="14860" max="14862" width="15.28515625" style="24" customWidth="1"/>
    <col min="14863" max="14863" width="12.42578125" style="24" customWidth="1"/>
    <col min="14864" max="14864" width="15.28515625" style="24" customWidth="1"/>
    <col min="14865" max="15103" width="8.85546875" style="24"/>
    <col min="15104" max="15104" width="5.28515625" style="24" customWidth="1"/>
    <col min="15105" max="15105" width="37.28515625" style="24" bestFit="1" customWidth="1"/>
    <col min="15106" max="15106" width="15.28515625" style="24" customWidth="1"/>
    <col min="15107" max="15107" width="3.28515625" style="24" customWidth="1"/>
    <col min="15108" max="15110" width="15.28515625" style="24" customWidth="1"/>
    <col min="15111" max="15111" width="14" style="24" customWidth="1"/>
    <col min="15112" max="15112" width="14.28515625" style="24" customWidth="1"/>
    <col min="15113" max="15113" width="11.85546875" style="24" customWidth="1"/>
    <col min="15114" max="15114" width="14.42578125" style="24" customWidth="1"/>
    <col min="15115" max="15115" width="12.5703125" style="24" customWidth="1"/>
    <col min="15116" max="15118" width="15.28515625" style="24" customWidth="1"/>
    <col min="15119" max="15119" width="12.42578125" style="24" customWidth="1"/>
    <col min="15120" max="15120" width="15.28515625" style="24" customWidth="1"/>
    <col min="15121" max="15359" width="8.85546875" style="24"/>
    <col min="15360" max="15360" width="5.28515625" style="24" customWidth="1"/>
    <col min="15361" max="15361" width="37.28515625" style="24" bestFit="1" customWidth="1"/>
    <col min="15362" max="15362" width="15.28515625" style="24" customWidth="1"/>
    <col min="15363" max="15363" width="3.28515625" style="24" customWidth="1"/>
    <col min="15364" max="15366" width="15.28515625" style="24" customWidth="1"/>
    <col min="15367" max="15367" width="14" style="24" customWidth="1"/>
    <col min="15368" max="15368" width="14.28515625" style="24" customWidth="1"/>
    <col min="15369" max="15369" width="11.85546875" style="24" customWidth="1"/>
    <col min="15370" max="15370" width="14.42578125" style="24" customWidth="1"/>
    <col min="15371" max="15371" width="12.5703125" style="24" customWidth="1"/>
    <col min="15372" max="15374" width="15.28515625" style="24" customWidth="1"/>
    <col min="15375" max="15375" width="12.42578125" style="24" customWidth="1"/>
    <col min="15376" max="15376" width="15.28515625" style="24" customWidth="1"/>
    <col min="15377" max="15615" width="8.85546875" style="24"/>
    <col min="15616" max="15616" width="5.28515625" style="24" customWidth="1"/>
    <col min="15617" max="15617" width="37.28515625" style="24" bestFit="1" customWidth="1"/>
    <col min="15618" max="15618" width="15.28515625" style="24" customWidth="1"/>
    <col min="15619" max="15619" width="3.28515625" style="24" customWidth="1"/>
    <col min="15620" max="15622" width="15.28515625" style="24" customWidth="1"/>
    <col min="15623" max="15623" width="14" style="24" customWidth="1"/>
    <col min="15624" max="15624" width="14.28515625" style="24" customWidth="1"/>
    <col min="15625" max="15625" width="11.85546875" style="24" customWidth="1"/>
    <col min="15626" max="15626" width="14.42578125" style="24" customWidth="1"/>
    <col min="15627" max="15627" width="12.5703125" style="24" customWidth="1"/>
    <col min="15628" max="15630" width="15.28515625" style="24" customWidth="1"/>
    <col min="15631" max="15631" width="12.42578125" style="24" customWidth="1"/>
    <col min="15632" max="15632" width="15.28515625" style="24" customWidth="1"/>
    <col min="15633" max="15871" width="8.85546875" style="24"/>
    <col min="15872" max="15872" width="5.28515625" style="24" customWidth="1"/>
    <col min="15873" max="15873" width="37.28515625" style="24" bestFit="1" customWidth="1"/>
    <col min="15874" max="15874" width="15.28515625" style="24" customWidth="1"/>
    <col min="15875" max="15875" width="3.28515625" style="24" customWidth="1"/>
    <col min="15876" max="15878" width="15.28515625" style="24" customWidth="1"/>
    <col min="15879" max="15879" width="14" style="24" customWidth="1"/>
    <col min="15880" max="15880" width="14.28515625" style="24" customWidth="1"/>
    <col min="15881" max="15881" width="11.85546875" style="24" customWidth="1"/>
    <col min="15882" max="15882" width="14.42578125" style="24" customWidth="1"/>
    <col min="15883" max="15883" width="12.5703125" style="24" customWidth="1"/>
    <col min="15884" max="15886" width="15.28515625" style="24" customWidth="1"/>
    <col min="15887" max="15887" width="12.42578125" style="24" customWidth="1"/>
    <col min="15888" max="15888" width="15.28515625" style="24" customWidth="1"/>
    <col min="15889" max="16127" width="8.85546875" style="24"/>
    <col min="16128" max="16128" width="5.28515625" style="24" customWidth="1"/>
    <col min="16129" max="16129" width="37.28515625" style="24" bestFit="1" customWidth="1"/>
    <col min="16130" max="16130" width="15.28515625" style="24" customWidth="1"/>
    <col min="16131" max="16131" width="3.28515625" style="24" customWidth="1"/>
    <col min="16132" max="16134" width="15.28515625" style="24" customWidth="1"/>
    <col min="16135" max="16135" width="14" style="24" customWidth="1"/>
    <col min="16136" max="16136" width="14.28515625" style="24" customWidth="1"/>
    <col min="16137" max="16137" width="11.85546875" style="24" customWidth="1"/>
    <col min="16138" max="16138" width="14.42578125" style="24" customWidth="1"/>
    <col min="16139" max="16139" width="12.5703125" style="24" customWidth="1"/>
    <col min="16140" max="16142" width="15.28515625" style="24" customWidth="1"/>
    <col min="16143" max="16143" width="12.42578125" style="24" customWidth="1"/>
    <col min="16144" max="16144" width="15.28515625" style="24" customWidth="1"/>
    <col min="16145" max="16384" width="8.85546875" style="24"/>
  </cols>
  <sheetData>
    <row r="1" spans="1:17" x14ac:dyDescent="0.2">
      <c r="A1" s="337" t="s">
        <v>16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</row>
    <row r="2" spans="1:17" x14ac:dyDescent="0.2">
      <c r="A2" s="337" t="s">
        <v>257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7" x14ac:dyDescent="0.2">
      <c r="A3" s="337" t="s">
        <v>258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7" ht="13.15" customHeight="1" x14ac:dyDescent="0.2">
      <c r="A4" s="337" t="s">
        <v>259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</row>
    <row r="6" spans="1:17" ht="33.75" x14ac:dyDescent="0.2">
      <c r="A6" s="49" t="s">
        <v>15</v>
      </c>
      <c r="B6" s="49" t="s">
        <v>260</v>
      </c>
      <c r="C6" s="49" t="s">
        <v>261</v>
      </c>
      <c r="D6" s="49"/>
      <c r="E6" s="49" t="s">
        <v>262</v>
      </c>
      <c r="F6" s="49" t="s">
        <v>263</v>
      </c>
      <c r="G6" s="49" t="s">
        <v>264</v>
      </c>
      <c r="H6" s="49" t="s">
        <v>265</v>
      </c>
      <c r="I6" s="49" t="s">
        <v>266</v>
      </c>
      <c r="J6" s="49" t="s">
        <v>267</v>
      </c>
      <c r="K6" s="49" t="s">
        <v>268</v>
      </c>
      <c r="L6" s="49" t="s">
        <v>269</v>
      </c>
      <c r="M6" s="49" t="s">
        <v>270</v>
      </c>
      <c r="N6" s="49" t="s">
        <v>271</v>
      </c>
      <c r="O6" s="49" t="s">
        <v>272</v>
      </c>
      <c r="P6" s="49" t="s">
        <v>273</v>
      </c>
    </row>
    <row r="7" spans="1:17" ht="12.75" customHeight="1" x14ac:dyDescent="0.2">
      <c r="A7" s="32"/>
      <c r="B7" s="33" t="s">
        <v>13</v>
      </c>
      <c r="C7" s="33" t="s">
        <v>12</v>
      </c>
      <c r="D7" s="33"/>
      <c r="E7" s="33" t="s">
        <v>11</v>
      </c>
      <c r="F7" s="33" t="s">
        <v>10</v>
      </c>
      <c r="G7" s="33" t="s">
        <v>9</v>
      </c>
      <c r="H7" s="33" t="s">
        <v>7</v>
      </c>
      <c r="I7" s="33" t="s">
        <v>6</v>
      </c>
      <c r="J7" s="33" t="s">
        <v>5</v>
      </c>
      <c r="K7" s="33" t="s">
        <v>4</v>
      </c>
      <c r="L7" s="33" t="s">
        <v>3</v>
      </c>
      <c r="M7" s="33" t="s">
        <v>2</v>
      </c>
      <c r="N7" s="33" t="s">
        <v>1</v>
      </c>
      <c r="O7" s="33" t="s">
        <v>0</v>
      </c>
      <c r="P7" s="33" t="s">
        <v>19</v>
      </c>
    </row>
    <row r="8" spans="1:17" ht="12.75" customHeight="1" x14ac:dyDescent="0.2">
      <c r="C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7" ht="12.75" customHeight="1" x14ac:dyDescent="0.2">
      <c r="A9" s="34">
        <v>1</v>
      </c>
      <c r="B9" s="27" t="s">
        <v>102</v>
      </c>
      <c r="C9" s="21">
        <f>SUM(E9:P9)</f>
        <v>22028705616.757526</v>
      </c>
      <c r="D9" s="21"/>
      <c r="E9" s="242">
        <v>11476152247.161776</v>
      </c>
      <c r="F9" s="242">
        <v>2915955626.4103169</v>
      </c>
      <c r="G9" s="242">
        <v>3242765959.9604325</v>
      </c>
      <c r="H9" s="242">
        <v>2092770306.5275679</v>
      </c>
      <c r="I9" s="242">
        <v>1456029850.0547175</v>
      </c>
      <c r="J9" s="242">
        <v>4597572.0317007378</v>
      </c>
      <c r="K9" s="242">
        <v>126890757.18193617</v>
      </c>
      <c r="L9" s="242">
        <v>0</v>
      </c>
      <c r="M9" s="242">
        <v>630228919.26662493</v>
      </c>
      <c r="N9" s="242">
        <v>0</v>
      </c>
      <c r="O9" s="242">
        <v>75887375.026475519</v>
      </c>
      <c r="P9" s="242">
        <v>7427003.1359829875</v>
      </c>
      <c r="Q9" s="22"/>
    </row>
    <row r="10" spans="1:17" ht="12.75" customHeight="1" x14ac:dyDescent="0.2">
      <c r="A10" s="34">
        <f t="shared" ref="A10:A30" si="0">+A9+1</f>
        <v>2</v>
      </c>
      <c r="B10" s="27" t="s">
        <v>103</v>
      </c>
      <c r="C10" s="21">
        <f>SUM(E10:P10)</f>
        <v>3877885.5466519948</v>
      </c>
      <c r="D10" s="21"/>
      <c r="E10" s="242">
        <v>2236474.2253660602</v>
      </c>
      <c r="F10" s="242">
        <v>515625.82524854271</v>
      </c>
      <c r="G10" s="242">
        <v>551893.91878041346</v>
      </c>
      <c r="H10" s="242">
        <v>289974.91765494185</v>
      </c>
      <c r="I10" s="242">
        <v>204844.84270926949</v>
      </c>
      <c r="J10" s="242">
        <v>7.0004300675974864</v>
      </c>
      <c r="K10" s="242">
        <v>0</v>
      </c>
      <c r="L10" s="242">
        <v>0</v>
      </c>
      <c r="M10" s="242">
        <v>69577.130407689765</v>
      </c>
      <c r="N10" s="242">
        <v>0</v>
      </c>
      <c r="O10" s="242">
        <v>8059.2720272472116</v>
      </c>
      <c r="P10" s="242">
        <v>1428.4140277629981</v>
      </c>
    </row>
    <row r="11" spans="1:17" ht="12.75" customHeight="1" x14ac:dyDescent="0.2">
      <c r="A11" s="34">
        <f t="shared" si="0"/>
        <v>3</v>
      </c>
      <c r="B11" s="25" t="s">
        <v>92</v>
      </c>
      <c r="C11" s="51">
        <f>SUM(E11:P11)</f>
        <v>1.0000000000000002</v>
      </c>
      <c r="D11" s="28"/>
      <c r="E11" s="243">
        <v>0.53490394182524048</v>
      </c>
      <c r="F11" s="243">
        <v>0.13251946891550651</v>
      </c>
      <c r="G11" s="243">
        <v>0.14598434799587429</v>
      </c>
      <c r="H11" s="243">
        <v>8.9945611770081077E-2</v>
      </c>
      <c r="I11" s="243">
        <v>6.2778661145608983E-2</v>
      </c>
      <c r="J11" s="243">
        <v>1.5698247276645428E-4</v>
      </c>
      <c r="K11" s="243">
        <v>4.3201842878165531E-3</v>
      </c>
      <c r="L11" s="243">
        <v>0</v>
      </c>
      <c r="M11" s="243">
        <v>2.594258653742372E-2</v>
      </c>
      <c r="N11" s="243">
        <v>0</v>
      </c>
      <c r="O11" s="243">
        <v>3.1032645268981099E-3</v>
      </c>
      <c r="P11" s="243">
        <v>3.4495052278399948E-4</v>
      </c>
    </row>
    <row r="12" spans="1:17" ht="12.75" customHeight="1" x14ac:dyDescent="0.2">
      <c r="A12" s="34">
        <f t="shared" si="0"/>
        <v>4</v>
      </c>
      <c r="B12" s="26" t="s">
        <v>93</v>
      </c>
      <c r="C12" s="244">
        <v>0.75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7" ht="12.75" customHeight="1" x14ac:dyDescent="0.2">
      <c r="A13" s="34">
        <f t="shared" si="0"/>
        <v>5</v>
      </c>
      <c r="B13" s="26" t="s">
        <v>94</v>
      </c>
      <c r="C13" s="244">
        <v>0.25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7" ht="12.75" customHeight="1" x14ac:dyDescent="0.2">
      <c r="A14" s="34">
        <f t="shared" si="0"/>
        <v>6</v>
      </c>
      <c r="C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7" ht="12.75" customHeight="1" x14ac:dyDescent="0.2">
      <c r="A15" s="34">
        <f t="shared" si="0"/>
        <v>7</v>
      </c>
      <c r="B15" s="25" t="s">
        <v>104</v>
      </c>
      <c r="C15" s="23">
        <f>SUM(E15:P15)</f>
        <v>2204186896.0480328</v>
      </c>
      <c r="E15" s="241">
        <v>1272189559.9573414</v>
      </c>
      <c r="F15" s="241">
        <v>277804874.76682806</v>
      </c>
      <c r="G15" s="241">
        <v>279245517.87218565</v>
      </c>
      <c r="H15" s="241">
        <v>162369227.79360747</v>
      </c>
      <c r="I15" s="241">
        <v>119008339.83619021</v>
      </c>
      <c r="J15" s="241">
        <v>488292.30479434563</v>
      </c>
      <c r="K15" s="241">
        <v>11918872.828783104</v>
      </c>
      <c r="L15" s="241">
        <v>5906781.5172387296</v>
      </c>
      <c r="M15" s="241">
        <v>43054222.042309165</v>
      </c>
      <c r="N15" s="241">
        <v>12792742.207745656</v>
      </c>
      <c r="O15" s="241">
        <v>18685997.08218123</v>
      </c>
      <c r="P15" s="241">
        <v>722467.83882742166</v>
      </c>
    </row>
    <row r="16" spans="1:17" ht="12.75" customHeight="1" x14ac:dyDescent="0.2">
      <c r="A16" s="34">
        <f t="shared" si="0"/>
        <v>8</v>
      </c>
      <c r="B16" s="27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</row>
    <row r="17" spans="1:16" ht="12.75" customHeight="1" x14ac:dyDescent="0.2">
      <c r="A17" s="34">
        <f t="shared" si="0"/>
        <v>9</v>
      </c>
      <c r="B17" s="27" t="s">
        <v>105</v>
      </c>
      <c r="C17" s="23">
        <f>SUM(E17:P17)</f>
        <v>2112174951.4153712</v>
      </c>
      <c r="E17" s="241">
        <v>1221804098.8634517</v>
      </c>
      <c r="F17" s="241">
        <v>264877298.8924548</v>
      </c>
      <c r="G17" s="241">
        <v>268889992.74233669</v>
      </c>
      <c r="H17" s="241">
        <v>156322135.02193627</v>
      </c>
      <c r="I17" s="241">
        <v>114255784.91893402</v>
      </c>
      <c r="J17" s="241">
        <v>471153.413162563</v>
      </c>
      <c r="K17" s="241">
        <v>11550026.018382926</v>
      </c>
      <c r="L17" s="241">
        <v>4798544.2792558782</v>
      </c>
      <c r="M17" s="241">
        <v>38418784.262285344</v>
      </c>
      <c r="N17" s="241">
        <v>11716071.281466989</v>
      </c>
      <c r="O17" s="241">
        <v>18379415.193841927</v>
      </c>
      <c r="P17" s="241">
        <v>691646.52786198317</v>
      </c>
    </row>
    <row r="18" spans="1:16" ht="12.75" customHeight="1" x14ac:dyDescent="0.2">
      <c r="A18" s="34">
        <f t="shared" si="0"/>
        <v>10</v>
      </c>
      <c r="C18" s="23"/>
      <c r="E18" s="35"/>
    </row>
    <row r="19" spans="1:16" ht="12.75" customHeight="1" x14ac:dyDescent="0.2">
      <c r="A19" s="34">
        <f t="shared" si="0"/>
        <v>11</v>
      </c>
      <c r="B19" s="27" t="s">
        <v>106</v>
      </c>
      <c r="C19" s="186">
        <f>'Exhibit A-1 (Original)'!F38</f>
        <v>499175898.51376635</v>
      </c>
      <c r="E19" s="5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2.75" customHeight="1" x14ac:dyDescent="0.2">
      <c r="A20" s="34">
        <f t="shared" si="0"/>
        <v>12</v>
      </c>
      <c r="B20" s="27" t="s">
        <v>107</v>
      </c>
      <c r="C20" s="187">
        <f>'Exhibit A-1 (Original)'!G38</f>
        <v>750331604.45554197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2.75" customHeight="1" x14ac:dyDescent="0.2">
      <c r="A21" s="34">
        <f t="shared" si="0"/>
        <v>13</v>
      </c>
      <c r="B21" s="27" t="s">
        <v>108</v>
      </c>
      <c r="C21" s="23">
        <f>SUM(C19:C20)</f>
        <v>1249507502.9693084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ht="12.75" customHeight="1" x14ac:dyDescent="0.2">
      <c r="A22" s="34">
        <f t="shared" si="0"/>
        <v>14</v>
      </c>
      <c r="B22" s="27"/>
      <c r="C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12.75" customHeight="1" x14ac:dyDescent="0.2">
      <c r="A23" s="34">
        <f t="shared" si="0"/>
        <v>15</v>
      </c>
      <c r="B23" s="25" t="s">
        <v>95</v>
      </c>
      <c r="C23" s="23">
        <f>SUM(E23:P23)</f>
        <v>499175898.51376635</v>
      </c>
      <c r="E23" s="23">
        <f t="shared" ref="E23:P23" si="1">+$C$19*E$11</f>
        <v>267011155.77916983</v>
      </c>
      <c r="F23" s="23">
        <f t="shared" si="1"/>
        <v>66150524.966465093</v>
      </c>
      <c r="G23" s="23">
        <f t="shared" si="1"/>
        <v>72871868.079786897</v>
      </c>
      <c r="H23" s="23">
        <f t="shared" si="1"/>
        <v>44898681.57270062</v>
      </c>
      <c r="I23" s="23">
        <f t="shared" si="1"/>
        <v>31337594.584850635</v>
      </c>
      <c r="J23" s="23">
        <f t="shared" si="1"/>
        <v>78361.866894107676</v>
      </c>
      <c r="K23" s="23">
        <f t="shared" si="1"/>
        <v>2156531.8736158838</v>
      </c>
      <c r="L23" s="23">
        <f t="shared" si="1"/>
        <v>0</v>
      </c>
      <c r="M23" s="23">
        <f t="shared" si="1"/>
        <v>12949913.944589624</v>
      </c>
      <c r="N23" s="23">
        <f t="shared" si="1"/>
        <v>0</v>
      </c>
      <c r="O23" s="23">
        <f t="shared" si="1"/>
        <v>1549074.8585402621</v>
      </c>
      <c r="P23" s="23">
        <f t="shared" si="1"/>
        <v>172190.98715349636</v>
      </c>
    </row>
    <row r="24" spans="1:16" ht="12.75" customHeight="1" x14ac:dyDescent="0.2">
      <c r="A24" s="34">
        <f t="shared" si="0"/>
        <v>16</v>
      </c>
      <c r="B24" s="25" t="s">
        <v>96</v>
      </c>
      <c r="C24" s="53">
        <f>SUM(E24:P24)</f>
        <v>750331604.45554209</v>
      </c>
      <c r="D24" s="29"/>
      <c r="E24" s="53">
        <f t="shared" ref="E24:P24" si="2">+$C$20*E$11</f>
        <v>401355332.89932656</v>
      </c>
      <c r="F24" s="53">
        <f t="shared" si="2"/>
        <v>99433545.732968315</v>
      </c>
      <c r="G24" s="53">
        <f t="shared" si="2"/>
        <v>109536670.05714053</v>
      </c>
      <c r="H24" s="53">
        <f t="shared" si="2"/>
        <v>67489035.193180218</v>
      </c>
      <c r="I24" s="53">
        <f t="shared" si="2"/>
        <v>47104813.542955577</v>
      </c>
      <c r="J24" s="53">
        <f t="shared" si="2"/>
        <v>117788.91066225206</v>
      </c>
      <c r="K24" s="53">
        <f t="shared" si="2"/>
        <v>3241570.808221017</v>
      </c>
      <c r="L24" s="53">
        <f t="shared" si="2"/>
        <v>0</v>
      </c>
      <c r="M24" s="53">
        <f t="shared" si="2"/>
        <v>19465542.580351882</v>
      </c>
      <c r="N24" s="53">
        <f t="shared" si="2"/>
        <v>0</v>
      </c>
      <c r="O24" s="53">
        <f t="shared" si="2"/>
        <v>2328477.4515174273</v>
      </c>
      <c r="P24" s="53">
        <f t="shared" si="2"/>
        <v>258827.27921829632</v>
      </c>
    </row>
    <row r="25" spans="1:16" ht="12.75" customHeight="1" x14ac:dyDescent="0.2">
      <c r="A25" s="34">
        <f t="shared" si="0"/>
        <v>17</v>
      </c>
      <c r="B25" s="26" t="s">
        <v>97</v>
      </c>
      <c r="C25" s="23">
        <f>SUM(E25:P25)</f>
        <v>1249507502.9693084</v>
      </c>
      <c r="E25" s="23">
        <f t="shared" ref="E25:P25" si="3">SUM(E23:E24)</f>
        <v>668366488.67849636</v>
      </c>
      <c r="F25" s="23">
        <f t="shared" si="3"/>
        <v>165584070.69943342</v>
      </c>
      <c r="G25" s="23">
        <f t="shared" si="3"/>
        <v>182408538.13692743</v>
      </c>
      <c r="H25" s="23">
        <f t="shared" si="3"/>
        <v>112387716.76588084</v>
      </c>
      <c r="I25" s="23">
        <f t="shared" si="3"/>
        <v>78442408.127806216</v>
      </c>
      <c r="J25" s="23">
        <f t="shared" si="3"/>
        <v>196150.77755635974</v>
      </c>
      <c r="K25" s="23">
        <f t="shared" si="3"/>
        <v>5398102.6818369012</v>
      </c>
      <c r="L25" s="23">
        <f t="shared" si="3"/>
        <v>0</v>
      </c>
      <c r="M25" s="23">
        <f t="shared" si="3"/>
        <v>32415456.524941504</v>
      </c>
      <c r="N25" s="23">
        <f t="shared" si="3"/>
        <v>0</v>
      </c>
      <c r="O25" s="23">
        <f t="shared" si="3"/>
        <v>3877552.3100576894</v>
      </c>
      <c r="P25" s="23">
        <f t="shared" si="3"/>
        <v>431018.26637179265</v>
      </c>
    </row>
    <row r="26" spans="1:16" ht="12.75" customHeight="1" x14ac:dyDescent="0.2">
      <c r="A26" s="34">
        <f t="shared" si="0"/>
        <v>18</v>
      </c>
      <c r="B26" s="27"/>
      <c r="C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2.75" customHeight="1" x14ac:dyDescent="0.2">
      <c r="A27" s="34">
        <f t="shared" si="0"/>
        <v>19</v>
      </c>
      <c r="B27" s="27" t="s">
        <v>98</v>
      </c>
    </row>
    <row r="28" spans="1:16" ht="12.75" customHeight="1" x14ac:dyDescent="0.2">
      <c r="A28" s="34">
        <f t="shared" si="0"/>
        <v>20</v>
      </c>
      <c r="B28" s="27" t="s">
        <v>99</v>
      </c>
      <c r="C28" s="28">
        <f>SUM(E28:P28)</f>
        <v>0.74999999999999978</v>
      </c>
      <c r="D28" s="28"/>
      <c r="E28" s="28">
        <f>ROUND(+$C$12*E9/$C$9,6)-0.000001</f>
        <v>0.39072200000000001</v>
      </c>
      <c r="F28" s="28">
        <f t="shared" ref="F28:P28" si="4">ROUND(+$C$12*F9/$C$9,6)</f>
        <v>9.9278000000000005E-2</v>
      </c>
      <c r="G28" s="28">
        <f t="shared" si="4"/>
        <v>0.110405</v>
      </c>
      <c r="H28" s="28">
        <f t="shared" si="4"/>
        <v>7.1250999999999995E-2</v>
      </c>
      <c r="I28" s="28">
        <f t="shared" si="4"/>
        <v>4.9572999999999999E-2</v>
      </c>
      <c r="J28" s="28">
        <f t="shared" si="4"/>
        <v>1.5699999999999999E-4</v>
      </c>
      <c r="K28" s="28">
        <f t="shared" si="4"/>
        <v>4.3200000000000001E-3</v>
      </c>
      <c r="L28" s="28">
        <f t="shared" si="4"/>
        <v>0</v>
      </c>
      <c r="M28" s="28">
        <f t="shared" si="4"/>
        <v>2.1457E-2</v>
      </c>
      <c r="N28" s="28">
        <f t="shared" si="4"/>
        <v>0</v>
      </c>
      <c r="O28" s="28">
        <f t="shared" si="4"/>
        <v>2.5839999999999999E-3</v>
      </c>
      <c r="P28" s="28">
        <f t="shared" si="4"/>
        <v>2.5300000000000002E-4</v>
      </c>
    </row>
    <row r="29" spans="1:16" ht="12.75" customHeight="1" x14ac:dyDescent="0.2">
      <c r="A29" s="34">
        <f t="shared" si="0"/>
        <v>21</v>
      </c>
      <c r="B29" s="27" t="s">
        <v>100</v>
      </c>
      <c r="C29" s="30">
        <f>SUM(E29:P29)</f>
        <v>0.24999899999999997</v>
      </c>
      <c r="D29" s="30"/>
      <c r="E29" s="30">
        <f>ROUND(+$C$13*E10/$C$10,6)-0.000001</f>
        <v>0.14418</v>
      </c>
      <c r="F29" s="30">
        <f t="shared" ref="F29:P29" si="5">ROUND(+$C$13*F10/$C$10,6)</f>
        <v>3.3241E-2</v>
      </c>
      <c r="G29" s="30">
        <f t="shared" si="5"/>
        <v>3.5580000000000001E-2</v>
      </c>
      <c r="H29" s="30">
        <f t="shared" si="5"/>
        <v>1.8693999999999999E-2</v>
      </c>
      <c r="I29" s="30">
        <f t="shared" si="5"/>
        <v>1.3206000000000001E-2</v>
      </c>
      <c r="J29" s="30">
        <f t="shared" si="5"/>
        <v>0</v>
      </c>
      <c r="K29" s="30">
        <f t="shared" si="5"/>
        <v>0</v>
      </c>
      <c r="L29" s="30">
        <f t="shared" si="5"/>
        <v>0</v>
      </c>
      <c r="M29" s="30">
        <f t="shared" si="5"/>
        <v>4.4860000000000004E-3</v>
      </c>
      <c r="N29" s="30">
        <f t="shared" si="5"/>
        <v>0</v>
      </c>
      <c r="O29" s="30">
        <f t="shared" si="5"/>
        <v>5.1999999999999995E-4</v>
      </c>
      <c r="P29" s="30">
        <f t="shared" si="5"/>
        <v>9.2E-5</v>
      </c>
    </row>
    <row r="30" spans="1:16" ht="12.75" customHeight="1" x14ac:dyDescent="0.2">
      <c r="A30" s="34">
        <f t="shared" si="0"/>
        <v>22</v>
      </c>
      <c r="B30" s="27" t="s">
        <v>101</v>
      </c>
      <c r="C30" s="28">
        <f>SUM(E30:P30)</f>
        <v>0.99999900000000008</v>
      </c>
      <c r="E30" s="28">
        <f t="shared" ref="E30:P30" si="6">SUM(E28:E29)</f>
        <v>0.53490199999999999</v>
      </c>
      <c r="F30" s="28">
        <f t="shared" si="6"/>
        <v>0.132519</v>
      </c>
      <c r="G30" s="28">
        <f t="shared" si="6"/>
        <v>0.145985</v>
      </c>
      <c r="H30" s="28">
        <f t="shared" si="6"/>
        <v>8.9944999999999997E-2</v>
      </c>
      <c r="I30" s="28">
        <f t="shared" si="6"/>
        <v>6.2779000000000001E-2</v>
      </c>
      <c r="J30" s="28">
        <f t="shared" si="6"/>
        <v>1.5699999999999999E-4</v>
      </c>
      <c r="K30" s="28">
        <f t="shared" si="6"/>
        <v>4.3200000000000001E-3</v>
      </c>
      <c r="L30" s="28">
        <f t="shared" si="6"/>
        <v>0</v>
      </c>
      <c r="M30" s="28">
        <f t="shared" si="6"/>
        <v>2.5943000000000001E-2</v>
      </c>
      <c r="N30" s="28">
        <f t="shared" si="6"/>
        <v>0</v>
      </c>
      <c r="O30" s="28">
        <f t="shared" si="6"/>
        <v>3.104E-3</v>
      </c>
      <c r="P30" s="28">
        <f t="shared" si="6"/>
        <v>3.4500000000000004E-4</v>
      </c>
    </row>
    <row r="31" spans="1:16" x14ac:dyDescent="0.2">
      <c r="A31" s="34"/>
    </row>
    <row r="32" spans="1:16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  <row r="38" spans="1:1" x14ac:dyDescent="0.2">
      <c r="A38" s="35"/>
    </row>
    <row r="39" spans="1:1" x14ac:dyDescent="0.2">
      <c r="A39" s="35"/>
    </row>
    <row r="40" spans="1:1" x14ac:dyDescent="0.2">
      <c r="A40" s="35"/>
    </row>
    <row r="41" spans="1:1" x14ac:dyDescent="0.2">
      <c r="A41" s="35"/>
    </row>
    <row r="42" spans="1:1" x14ac:dyDescent="0.2">
      <c r="A42" s="35"/>
    </row>
    <row r="43" spans="1:1" x14ac:dyDescent="0.2">
      <c r="A43" s="35"/>
    </row>
    <row r="44" spans="1:1" x14ac:dyDescent="0.2">
      <c r="A44" s="35"/>
    </row>
    <row r="45" spans="1:1" x14ac:dyDescent="0.2">
      <c r="A45" s="35"/>
    </row>
    <row r="46" spans="1:1" x14ac:dyDescent="0.2">
      <c r="A46" s="35"/>
    </row>
    <row r="47" spans="1:1" x14ac:dyDescent="0.2">
      <c r="A47" s="35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workbookViewId="0">
      <selection activeCell="C19" sqref="C19:C20"/>
    </sheetView>
  </sheetViews>
  <sheetFormatPr defaultColWidth="9.140625" defaultRowHeight="11.25" x14ac:dyDescent="0.2"/>
  <cols>
    <col min="1" max="1" width="30.5703125" style="19" bestFit="1" customWidth="1"/>
    <col min="2" max="2" width="35.7109375" style="19" customWidth="1"/>
    <col min="3" max="3" width="12.85546875" style="19" bestFit="1" customWidth="1"/>
    <col min="4" max="4" width="11.28515625" style="19" bestFit="1" customWidth="1"/>
    <col min="5" max="5" width="4.140625" style="19" bestFit="1" customWidth="1"/>
    <col min="6" max="7" width="11.5703125" style="19" bestFit="1" customWidth="1"/>
    <col min="8" max="8" width="5.28515625" style="19" bestFit="1" customWidth="1"/>
    <col min="9" max="9" width="5.42578125" style="19" customWidth="1"/>
    <col min="10" max="10" width="33.5703125" style="19" bestFit="1" customWidth="1"/>
    <col min="11" max="11" width="14" style="19" bestFit="1" customWidth="1"/>
    <col min="12" max="12" width="11" style="19" bestFit="1" customWidth="1"/>
    <col min="13" max="13" width="6.7109375" style="19" bestFit="1" customWidth="1"/>
    <col min="14" max="14" width="15.140625" style="19" bestFit="1" customWidth="1"/>
    <col min="15" max="15" width="16.85546875" style="19" bestFit="1" customWidth="1"/>
    <col min="16" max="16" width="14.5703125" style="19" bestFit="1" customWidth="1"/>
    <col min="17" max="16384" width="9.140625" style="19"/>
  </cols>
  <sheetData>
    <row r="1" spans="1:27" x14ac:dyDescent="0.2">
      <c r="A1" s="90" t="s">
        <v>115</v>
      </c>
      <c r="B1" s="91"/>
      <c r="C1" s="91"/>
      <c r="D1" s="91"/>
      <c r="E1" s="92" t="s">
        <v>240</v>
      </c>
      <c r="F1" s="93"/>
      <c r="G1" s="94"/>
      <c r="H1" s="91"/>
      <c r="I1" s="91"/>
      <c r="J1" s="91"/>
      <c r="K1" s="91"/>
      <c r="L1" s="91"/>
      <c r="M1" s="91"/>
      <c r="N1" s="91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x14ac:dyDescent="0.2">
      <c r="A2" s="90" t="s">
        <v>116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ht="13.9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7" x14ac:dyDescent="0.2">
      <c r="A4" s="96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27" x14ac:dyDescent="0.2">
      <c r="A5" s="96" t="s">
        <v>117</v>
      </c>
      <c r="B5" s="91"/>
      <c r="C5" s="97" t="s">
        <v>118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</row>
    <row r="6" spans="1:27" x14ac:dyDescent="0.2">
      <c r="A6" s="98">
        <v>3</v>
      </c>
      <c r="B6" s="19" t="s">
        <v>119</v>
      </c>
      <c r="C6" s="167">
        <v>148923662.89445901</v>
      </c>
      <c r="H6" s="91"/>
      <c r="I6" s="91"/>
      <c r="J6" s="91"/>
      <c r="K6" s="91"/>
      <c r="L6" s="91"/>
      <c r="M6" s="91"/>
      <c r="N6" s="91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</row>
    <row r="7" spans="1:27" x14ac:dyDescent="0.2">
      <c r="A7" s="98">
        <v>4</v>
      </c>
      <c r="B7" s="19" t="s">
        <v>120</v>
      </c>
      <c r="C7" s="168">
        <v>79202112.316321075</v>
      </c>
      <c r="H7" s="91"/>
      <c r="I7" s="91"/>
      <c r="J7" s="91"/>
      <c r="K7" s="91"/>
      <c r="L7" s="91"/>
      <c r="M7" s="91"/>
      <c r="N7" s="91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27" ht="12" thickBot="1" x14ac:dyDescent="0.25">
      <c r="A8" s="98">
        <v>5</v>
      </c>
      <c r="B8" s="19" t="s">
        <v>121</v>
      </c>
      <c r="C8" s="168">
        <v>1692468635.3914154</v>
      </c>
      <c r="H8" s="91"/>
      <c r="I8" s="91"/>
      <c r="J8" s="91"/>
      <c r="K8" s="91"/>
      <c r="L8" s="91"/>
      <c r="M8" s="91"/>
      <c r="N8" s="91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</row>
    <row r="9" spans="1:27" x14ac:dyDescent="0.2">
      <c r="A9" s="98">
        <f>+A8+1</f>
        <v>6</v>
      </c>
      <c r="C9" s="99">
        <f>SUM(C6:C8)</f>
        <v>1920594410.6021955</v>
      </c>
      <c r="H9" s="91"/>
      <c r="I9" s="91"/>
      <c r="J9" s="100" t="s">
        <v>122</v>
      </c>
      <c r="K9" s="101"/>
      <c r="L9" s="101"/>
      <c r="M9" s="102"/>
      <c r="N9" s="91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27" x14ac:dyDescent="0.2">
      <c r="A10" s="98">
        <f>+A9+1</f>
        <v>7</v>
      </c>
      <c r="B10" s="103" t="s">
        <v>242</v>
      </c>
      <c r="C10" s="169">
        <v>6.8000000000000005E-2</v>
      </c>
      <c r="D10" s="105"/>
      <c r="E10" s="105"/>
      <c r="F10" s="106" t="s">
        <v>123</v>
      </c>
      <c r="G10" s="106" t="s">
        <v>124</v>
      </c>
      <c r="H10" s="91"/>
      <c r="I10" s="91"/>
      <c r="J10" s="107"/>
      <c r="K10" s="108"/>
      <c r="L10" s="108"/>
      <c r="M10" s="109"/>
      <c r="N10" s="91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x14ac:dyDescent="0.2">
      <c r="A11" s="98">
        <f>+A10+1</f>
        <v>8</v>
      </c>
      <c r="B11" s="103"/>
      <c r="C11" s="104"/>
      <c r="D11" s="106" t="s">
        <v>125</v>
      </c>
      <c r="E11" s="106"/>
      <c r="F11" s="106" t="s">
        <v>126</v>
      </c>
      <c r="G11" s="106" t="s">
        <v>126</v>
      </c>
      <c r="H11" s="91"/>
      <c r="I11" s="91"/>
      <c r="J11" s="107" t="s">
        <v>127</v>
      </c>
      <c r="K11" s="108"/>
      <c r="L11" s="108"/>
      <c r="M11" s="109"/>
      <c r="N11" s="91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</row>
    <row r="12" spans="1:27" x14ac:dyDescent="0.2">
      <c r="A12" s="98">
        <f>+A11+1</f>
        <v>9</v>
      </c>
      <c r="B12" s="110"/>
      <c r="C12" s="104"/>
      <c r="D12" s="111" t="s">
        <v>128</v>
      </c>
      <c r="E12" s="111"/>
      <c r="F12" s="112" t="s">
        <v>129</v>
      </c>
      <c r="G12" s="112" t="s">
        <v>130</v>
      </c>
      <c r="H12" s="91"/>
      <c r="I12" s="91"/>
      <c r="J12" s="107" t="s">
        <v>131</v>
      </c>
      <c r="K12" s="113" t="s">
        <v>132</v>
      </c>
      <c r="L12" s="113" t="s">
        <v>133</v>
      </c>
      <c r="M12" s="75" t="s">
        <v>134</v>
      </c>
      <c r="N12" s="91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</row>
    <row r="13" spans="1:27" x14ac:dyDescent="0.2">
      <c r="A13" s="98" t="s">
        <v>135</v>
      </c>
      <c r="B13" s="103"/>
      <c r="C13" s="106" t="s">
        <v>136</v>
      </c>
      <c r="D13" s="114" t="s">
        <v>137</v>
      </c>
      <c r="E13" s="114" t="s">
        <v>138</v>
      </c>
      <c r="F13" s="114" t="s">
        <v>139</v>
      </c>
      <c r="G13" s="114" t="s">
        <v>140</v>
      </c>
      <c r="H13" s="91"/>
      <c r="I13" s="91"/>
      <c r="J13" s="115" t="s">
        <v>141</v>
      </c>
      <c r="K13" s="116">
        <f>SUM(C15,C18:C20,C25:C27,C30)</f>
        <v>748509673.75029683</v>
      </c>
      <c r="L13" s="174">
        <v>748509673.75029671</v>
      </c>
      <c r="M13" s="117">
        <f>+K13-L13</f>
        <v>0</v>
      </c>
      <c r="N13" s="91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</row>
    <row r="14" spans="1:27" x14ac:dyDescent="0.2">
      <c r="A14" s="98">
        <v>10</v>
      </c>
      <c r="B14" s="103" t="s">
        <v>142</v>
      </c>
      <c r="C14" s="118">
        <f>(C6*C$10/0.79)</f>
        <v>12818745.666864827</v>
      </c>
      <c r="D14" s="119">
        <f t="shared" ref="D14:D35" si="0">C14/$C$39</f>
        <v>0.6242161401991263</v>
      </c>
      <c r="E14" s="120" t="s">
        <v>143</v>
      </c>
      <c r="F14" s="118">
        <f>+C14</f>
        <v>12818745.666864827</v>
      </c>
      <c r="G14" s="118"/>
      <c r="H14" s="91"/>
      <c r="I14" s="91"/>
      <c r="J14" s="115"/>
      <c r="K14" s="108"/>
      <c r="L14" s="108"/>
      <c r="M14" s="109"/>
      <c r="N14" s="91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</row>
    <row r="15" spans="1:27" x14ac:dyDescent="0.2">
      <c r="A15" s="98" t="s">
        <v>144</v>
      </c>
      <c r="B15" s="103" t="s">
        <v>145</v>
      </c>
      <c r="C15" s="170">
        <v>3913502.79561463</v>
      </c>
      <c r="D15" s="119">
        <f t="shared" si="0"/>
        <v>0.19057025337913</v>
      </c>
      <c r="E15" s="120" t="s">
        <v>146</v>
      </c>
      <c r="F15" s="121"/>
      <c r="G15" s="121">
        <f>+C15</f>
        <v>3913502.79561463</v>
      </c>
      <c r="H15" s="91"/>
      <c r="I15" s="91"/>
      <c r="J15" s="122" t="s">
        <v>147</v>
      </c>
      <c r="K15" s="123" t="s">
        <v>148</v>
      </c>
      <c r="L15" s="113" t="s">
        <v>133</v>
      </c>
      <c r="M15" s="124"/>
      <c r="N15" s="12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</row>
    <row r="16" spans="1:27" x14ac:dyDescent="0.2">
      <c r="A16" s="98">
        <v>11</v>
      </c>
      <c r="B16" s="126" t="s">
        <v>149</v>
      </c>
      <c r="C16" s="121">
        <f>(C7*$C$10/0.79)</f>
        <v>6817397.0095061176</v>
      </c>
      <c r="D16" s="119">
        <f t="shared" si="0"/>
        <v>0.33197704034951658</v>
      </c>
      <c r="E16" s="120" t="s">
        <v>143</v>
      </c>
      <c r="F16" s="121">
        <f>+C16</f>
        <v>6817397.0095061176</v>
      </c>
      <c r="G16" s="121"/>
      <c r="H16" s="91"/>
      <c r="I16" s="91"/>
      <c r="J16" s="127" t="s">
        <v>150</v>
      </c>
      <c r="K16" s="175">
        <v>480812232.85845876</v>
      </c>
      <c r="L16" s="108"/>
      <c r="M16" s="109"/>
      <c r="N16" s="129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</row>
    <row r="17" spans="1:27" x14ac:dyDescent="0.2">
      <c r="A17" s="98">
        <v>12</v>
      </c>
      <c r="B17" s="126" t="s">
        <v>151</v>
      </c>
      <c r="C17" s="121">
        <f>(C8*$C$10/0.79)</f>
        <v>145680844.56533703</v>
      </c>
      <c r="D17" s="119">
        <f t="shared" si="0"/>
        <v>7.0940119149555221</v>
      </c>
      <c r="E17" s="120" t="s">
        <v>143</v>
      </c>
      <c r="F17" s="121">
        <f>+C17</f>
        <v>145680844.56533703</v>
      </c>
      <c r="G17" s="121"/>
      <c r="H17" s="91"/>
      <c r="I17" s="91"/>
      <c r="J17" s="127" t="s">
        <v>152</v>
      </c>
      <c r="K17" s="175">
        <v>164015324.98970243</v>
      </c>
      <c r="L17" s="108"/>
      <c r="M17" s="109"/>
      <c r="N17" s="91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</row>
    <row r="18" spans="1:27" x14ac:dyDescent="0.2">
      <c r="A18" s="98">
        <v>13</v>
      </c>
      <c r="B18" s="126" t="s">
        <v>244</v>
      </c>
      <c r="C18" s="170">
        <v>37089392.406405531</v>
      </c>
      <c r="D18" s="119">
        <f t="shared" si="0"/>
        <v>1.8060891425673826</v>
      </c>
      <c r="E18" s="120" t="s">
        <v>146</v>
      </c>
      <c r="F18" s="121"/>
      <c r="G18" s="121">
        <f>+C18</f>
        <v>37089392.406405531</v>
      </c>
      <c r="H18" s="91"/>
      <c r="I18" s="91"/>
      <c r="J18" s="127" t="s">
        <v>153</v>
      </c>
      <c r="K18" s="175">
        <v>112486392.77130413</v>
      </c>
      <c r="L18" s="108"/>
      <c r="M18" s="109"/>
      <c r="N18" s="91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</row>
    <row r="19" spans="1:27" x14ac:dyDescent="0.2">
      <c r="A19" s="98">
        <v>14</v>
      </c>
      <c r="B19" s="126" t="s">
        <v>245</v>
      </c>
      <c r="C19" s="170">
        <v>468639005.35613108</v>
      </c>
      <c r="D19" s="119">
        <f t="shared" si="0"/>
        <v>22.820643975044128</v>
      </c>
      <c r="E19" s="120" t="s">
        <v>146</v>
      </c>
      <c r="F19" s="121"/>
      <c r="G19" s="121">
        <f>+C19</f>
        <v>468639005.35613108</v>
      </c>
      <c r="H19" s="91"/>
      <c r="I19" s="91"/>
      <c r="J19" s="127" t="s">
        <v>154</v>
      </c>
      <c r="K19" s="175">
        <v>-9043639.2224400174</v>
      </c>
      <c r="L19" s="108"/>
      <c r="M19" s="109"/>
      <c r="N19" s="91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</row>
    <row r="20" spans="1:27" x14ac:dyDescent="0.2">
      <c r="A20" s="98">
        <v>15</v>
      </c>
      <c r="B20" s="126" t="s">
        <v>155</v>
      </c>
      <c r="C20" s="170">
        <v>8072158.7332714284</v>
      </c>
      <c r="D20" s="119">
        <f t="shared" si="0"/>
        <v>0.39307837900100318</v>
      </c>
      <c r="E20" s="120" t="s">
        <v>143</v>
      </c>
      <c r="F20" s="121">
        <f>+C20</f>
        <v>8072158.7332714284</v>
      </c>
      <c r="G20" s="121"/>
      <c r="H20" s="91"/>
      <c r="I20" s="91"/>
      <c r="J20" s="127" t="s">
        <v>156</v>
      </c>
      <c r="K20" s="175">
        <v>-27552250.181711692</v>
      </c>
      <c r="L20" s="108"/>
      <c r="M20" s="109"/>
      <c r="N20" s="91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</row>
    <row r="21" spans="1:27" x14ac:dyDescent="0.2">
      <c r="A21" s="98" t="s">
        <v>157</v>
      </c>
      <c r="B21" s="130" t="s">
        <v>158</v>
      </c>
      <c r="C21" s="170">
        <v>8840460.579817621</v>
      </c>
      <c r="D21" s="119">
        <f t="shared" si="0"/>
        <v>0.43049127614573779</v>
      </c>
      <c r="E21" s="120" t="s">
        <v>143</v>
      </c>
      <c r="F21" s="121">
        <f>+C21</f>
        <v>8840460.579817621</v>
      </c>
      <c r="G21" s="121"/>
      <c r="H21" s="91"/>
      <c r="I21" s="91"/>
      <c r="J21" s="127" t="s">
        <v>159</v>
      </c>
      <c r="K21" s="175">
        <v>107550238.86724567</v>
      </c>
      <c r="L21" s="108"/>
      <c r="M21" s="109"/>
      <c r="N21" s="91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</row>
    <row r="22" spans="1:27" x14ac:dyDescent="0.2">
      <c r="A22" s="98" t="s">
        <v>160</v>
      </c>
      <c r="B22" s="130" t="s">
        <v>161</v>
      </c>
      <c r="C22" s="170">
        <v>3895439.2738404199</v>
      </c>
      <c r="D22" s="119">
        <f t="shared" si="0"/>
        <v>0.18969063987143348</v>
      </c>
      <c r="E22" s="120" t="s">
        <v>143</v>
      </c>
      <c r="F22" s="121">
        <f>+C22</f>
        <v>3895439.2738404199</v>
      </c>
      <c r="G22" s="121"/>
      <c r="H22" s="91"/>
      <c r="I22" s="91"/>
      <c r="J22" s="127" t="s">
        <v>162</v>
      </c>
      <c r="K22" s="175">
        <v>876514.03</v>
      </c>
      <c r="L22" s="108"/>
      <c r="M22" s="109"/>
      <c r="N22" s="91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</row>
    <row r="23" spans="1:27" x14ac:dyDescent="0.2">
      <c r="A23" s="98" t="s">
        <v>163</v>
      </c>
      <c r="B23" s="130" t="s">
        <v>164</v>
      </c>
      <c r="C23" s="170">
        <v>766379.13641918893</v>
      </c>
      <c r="D23" s="119">
        <f t="shared" si="0"/>
        <v>3.7319269677165548E-2</v>
      </c>
      <c r="E23" s="120" t="s">
        <v>146</v>
      </c>
      <c r="F23" s="121"/>
      <c r="G23" s="121">
        <f>+C23</f>
        <v>766379.13641918893</v>
      </c>
      <c r="H23" s="91"/>
      <c r="I23" s="91"/>
      <c r="J23" s="127" t="s">
        <v>165</v>
      </c>
      <c r="K23" s="175">
        <v>-8666881.7085096519</v>
      </c>
      <c r="L23" s="108"/>
      <c r="M23" s="75" t="s">
        <v>134</v>
      </c>
      <c r="N23" s="91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</row>
    <row r="24" spans="1:27" x14ac:dyDescent="0.2">
      <c r="A24" s="98" t="s">
        <v>166</v>
      </c>
      <c r="B24" s="130" t="s">
        <v>167</v>
      </c>
      <c r="C24" s="170">
        <v>1989467.6013443223</v>
      </c>
      <c r="D24" s="119">
        <f t="shared" si="0"/>
        <v>9.6878260902893559E-2</v>
      </c>
      <c r="E24" s="120" t="s">
        <v>143</v>
      </c>
      <c r="F24" s="121">
        <f>+C24</f>
        <v>1989467.6013443223</v>
      </c>
      <c r="G24" s="121"/>
      <c r="H24" s="91"/>
      <c r="I24" s="91"/>
      <c r="J24" s="127" t="s">
        <v>168</v>
      </c>
      <c r="K24" s="131">
        <f>SUM(K16:K23)</f>
        <v>820477932.40404963</v>
      </c>
      <c r="L24" s="176">
        <v>820477932.40404963</v>
      </c>
      <c r="M24" s="117">
        <f>+K24-L24</f>
        <v>0</v>
      </c>
      <c r="N24" s="91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</row>
    <row r="25" spans="1:27" x14ac:dyDescent="0.2">
      <c r="A25" s="98" t="s">
        <v>169</v>
      </c>
      <c r="B25" s="130" t="s">
        <v>170</v>
      </c>
      <c r="C25" s="170">
        <v>426928.32671306725</v>
      </c>
      <c r="D25" s="119">
        <f t="shared" si="0"/>
        <v>2.0789518660266949E-2</v>
      </c>
      <c r="E25" s="120" t="s">
        <v>146</v>
      </c>
      <c r="F25" s="121"/>
      <c r="G25" s="121">
        <f>+C25</f>
        <v>426928.32671306725</v>
      </c>
      <c r="H25" s="91"/>
      <c r="I25" s="91"/>
      <c r="J25" s="127" t="s">
        <v>171</v>
      </c>
      <c r="K25" s="128">
        <f>-K20</f>
        <v>27552250.181711692</v>
      </c>
      <c r="L25" s="108"/>
      <c r="M25" s="109"/>
      <c r="N25" s="91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</row>
    <row r="26" spans="1:27" x14ac:dyDescent="0.2">
      <c r="A26" s="98">
        <v>16</v>
      </c>
      <c r="B26" s="126" t="s">
        <v>246</v>
      </c>
      <c r="C26" s="170">
        <v>126925932.5832969</v>
      </c>
      <c r="D26" s="119">
        <f t="shared" si="0"/>
        <v>6.1807307662807984</v>
      </c>
      <c r="E26" s="120" t="s">
        <v>146</v>
      </c>
      <c r="F26" s="121"/>
      <c r="G26" s="121">
        <f>+C26</f>
        <v>126925932.5832969</v>
      </c>
      <c r="H26" s="91"/>
      <c r="I26" s="91"/>
      <c r="J26" s="127" t="s">
        <v>172</v>
      </c>
      <c r="K26" s="128">
        <f>-K21</f>
        <v>-107550238.86724567</v>
      </c>
      <c r="L26" s="128"/>
      <c r="M26" s="109"/>
      <c r="N26" s="91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</row>
    <row r="27" spans="1:27" x14ac:dyDescent="0.2">
      <c r="A27" s="98">
        <v>17</v>
      </c>
      <c r="B27" s="126" t="s">
        <v>247</v>
      </c>
      <c r="C27" s="170">
        <v>112486392.77130413</v>
      </c>
      <c r="D27" s="119">
        <f t="shared" si="0"/>
        <v>5.4775891296546453</v>
      </c>
      <c r="E27" s="120" t="s">
        <v>146</v>
      </c>
      <c r="F27" s="121"/>
      <c r="G27" s="121">
        <f>+C27</f>
        <v>112486392.77130413</v>
      </c>
      <c r="H27" s="91"/>
      <c r="I27" s="91"/>
      <c r="J27" s="127" t="s">
        <v>173</v>
      </c>
      <c r="K27" s="128">
        <f>-K22</f>
        <v>-876514.03</v>
      </c>
      <c r="L27" s="128"/>
      <c r="M27" s="109"/>
      <c r="N27" s="91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</row>
    <row r="28" spans="1:27" x14ac:dyDescent="0.2">
      <c r="A28" s="98">
        <v>18</v>
      </c>
      <c r="B28" s="126" t="s">
        <v>174</v>
      </c>
      <c r="C28" s="170">
        <v>-8666881.7085096519</v>
      </c>
      <c r="D28" s="119">
        <f t="shared" si="0"/>
        <v>-0.42203875388780288</v>
      </c>
      <c r="E28" s="120" t="s">
        <v>143</v>
      </c>
      <c r="F28" s="121">
        <f>+C28</f>
        <v>-8666881.7085096519</v>
      </c>
      <c r="G28" s="121"/>
      <c r="H28" s="91"/>
      <c r="I28" s="91"/>
      <c r="J28" s="127" t="s">
        <v>175</v>
      </c>
      <c r="K28" s="128">
        <f>-K23</f>
        <v>8666881.7085096519</v>
      </c>
      <c r="L28" s="108"/>
      <c r="M28" s="109"/>
      <c r="N28" s="91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</row>
    <row r="29" spans="1:27" x14ac:dyDescent="0.2">
      <c r="A29" s="98">
        <v>19</v>
      </c>
      <c r="B29" s="126" t="s">
        <v>159</v>
      </c>
      <c r="C29" s="170">
        <v>108205898.55701637</v>
      </c>
      <c r="D29" s="119">
        <f t="shared" si="0"/>
        <v>5.2691480195783198</v>
      </c>
      <c r="E29" s="120" t="s">
        <v>143</v>
      </c>
      <c r="F29" s="121">
        <f>+C29</f>
        <v>108205898.55701637</v>
      </c>
      <c r="G29" s="121"/>
      <c r="H29" s="91"/>
      <c r="I29" s="91"/>
      <c r="J29" s="127" t="s">
        <v>176</v>
      </c>
      <c r="K29" s="175">
        <v>239362.3532714289</v>
      </c>
      <c r="L29" s="128"/>
      <c r="M29" s="75" t="s">
        <v>134</v>
      </c>
      <c r="N29" s="91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</row>
    <row r="30" spans="1:27" x14ac:dyDescent="0.2">
      <c r="A30" s="98">
        <v>20</v>
      </c>
      <c r="B30" s="126" t="s">
        <v>177</v>
      </c>
      <c r="C30" s="170">
        <v>-9043639.2224400043</v>
      </c>
      <c r="D30" s="119">
        <f t="shared" si="0"/>
        <v>-0.44038517617033052</v>
      </c>
      <c r="E30" s="120" t="s">
        <v>146</v>
      </c>
      <c r="F30" s="121"/>
      <c r="G30" s="121">
        <f>+C30</f>
        <v>-9043639.2224400043</v>
      </c>
      <c r="H30" s="91"/>
      <c r="I30" s="91"/>
      <c r="J30" s="115"/>
      <c r="K30" s="116">
        <f>SUM(K24:K29)</f>
        <v>748509673.75029683</v>
      </c>
      <c r="L30" s="132">
        <f>+L13</f>
        <v>748509673.75029671</v>
      </c>
      <c r="M30" s="117">
        <f>+K30-L30</f>
        <v>0</v>
      </c>
      <c r="N30" s="91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1:27" x14ac:dyDescent="0.2">
      <c r="A31" s="98">
        <v>21</v>
      </c>
      <c r="B31" s="133" t="s">
        <v>178</v>
      </c>
      <c r="C31" s="170">
        <v>-27552250.181711692</v>
      </c>
      <c r="D31" s="119">
        <f t="shared" si="0"/>
        <v>-1.3416725558948643</v>
      </c>
      <c r="E31" s="120" t="s">
        <v>146</v>
      </c>
      <c r="F31" s="121"/>
      <c r="G31" s="121">
        <f>+C31</f>
        <v>-27552250.181711692</v>
      </c>
      <c r="H31" s="91"/>
      <c r="I31" s="91"/>
      <c r="J31" s="115"/>
      <c r="K31" s="108"/>
      <c r="L31" s="108"/>
      <c r="M31" s="109"/>
      <c r="N31" s="91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 x14ac:dyDescent="0.2">
      <c r="A32" s="98">
        <v>22</v>
      </c>
      <c r="B32" s="126" t="s">
        <v>162</v>
      </c>
      <c r="C32" s="170">
        <v>876514.03</v>
      </c>
      <c r="D32" s="119">
        <f t="shared" si="0"/>
        <v>4.2682351210951028E-2</v>
      </c>
      <c r="E32" s="120" t="s">
        <v>143</v>
      </c>
      <c r="F32" s="121">
        <f>+C32</f>
        <v>876514.03</v>
      </c>
      <c r="G32" s="121"/>
      <c r="H32" s="91"/>
      <c r="I32" s="91"/>
      <c r="J32" s="107" t="s">
        <v>179</v>
      </c>
      <c r="K32" s="108"/>
      <c r="L32" s="128"/>
      <c r="M32" s="109"/>
      <c r="N32" s="91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</row>
    <row r="33" spans="1:27" x14ac:dyDescent="0.2">
      <c r="A33" s="98">
        <v>23</v>
      </c>
      <c r="B33" s="134" t="s">
        <v>180</v>
      </c>
      <c r="C33" s="170">
        <v>174679766.54322088</v>
      </c>
      <c r="D33" s="119">
        <f t="shared" si="0"/>
        <v>8.5061309800650733</v>
      </c>
      <c r="E33" s="120" t="s">
        <v>143</v>
      </c>
      <c r="F33" s="121">
        <f>+C33</f>
        <v>174679766.54322088</v>
      </c>
      <c r="G33" s="121"/>
      <c r="H33" s="91"/>
      <c r="I33" s="91"/>
      <c r="J33" s="127" t="s">
        <v>181</v>
      </c>
      <c r="K33" s="128">
        <f>+K21</f>
        <v>107550238.86724567</v>
      </c>
      <c r="L33" s="128"/>
      <c r="M33" s="109"/>
      <c r="N33" s="91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</row>
    <row r="34" spans="1:27" x14ac:dyDescent="0.2">
      <c r="A34" s="98">
        <v>24</v>
      </c>
      <c r="B34" s="134" t="s">
        <v>182</v>
      </c>
      <c r="C34" s="170">
        <v>3531950.8300239993</v>
      </c>
      <c r="D34" s="119">
        <f t="shared" si="0"/>
        <v>0.17199036253520592</v>
      </c>
      <c r="E34" s="120" t="s">
        <v>143</v>
      </c>
      <c r="F34" s="121">
        <f>+C34</f>
        <v>3531950.8300239993</v>
      </c>
      <c r="G34" s="121"/>
      <c r="H34" s="91"/>
      <c r="I34" s="91"/>
      <c r="J34" s="127" t="s">
        <v>183</v>
      </c>
      <c r="K34" s="175">
        <v>655659.68977071228</v>
      </c>
      <c r="L34" s="128"/>
      <c r="M34" s="75" t="s">
        <v>134</v>
      </c>
      <c r="N34" s="91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</row>
    <row r="35" spans="1:27" x14ac:dyDescent="0.2">
      <c r="A35" s="98">
        <v>25</v>
      </c>
      <c r="B35" s="134" t="s">
        <v>248</v>
      </c>
      <c r="C35" s="121">
        <f>D56</f>
        <v>8031923.03318753</v>
      </c>
      <c r="D35" s="119">
        <f t="shared" si="0"/>
        <v>0.39111907860942879</v>
      </c>
      <c r="E35" s="120" t="s">
        <v>143</v>
      </c>
      <c r="F35" s="121">
        <f>+C35</f>
        <v>8031923.03318753</v>
      </c>
      <c r="G35" s="121"/>
      <c r="H35" s="91"/>
      <c r="I35" s="91"/>
      <c r="J35" s="127"/>
      <c r="K35" s="116">
        <f>SUM(K33:K34)</f>
        <v>108205898.55701639</v>
      </c>
      <c r="L35" s="177">
        <v>108205898.55701637</v>
      </c>
      <c r="M35" s="117">
        <f>+K35-L35</f>
        <v>0</v>
      </c>
      <c r="N35" s="91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</row>
    <row r="36" spans="1:27" ht="12" thickBot="1" x14ac:dyDescent="0.25">
      <c r="A36" s="98">
        <v>27</v>
      </c>
      <c r="B36" s="135" t="s">
        <v>184</v>
      </c>
      <c r="C36" s="136">
        <f>SUM(C14:C35)</f>
        <v>1188425328.6866541</v>
      </c>
      <c r="D36" s="137">
        <f>SUM(D14:D35)</f>
        <v>57.871050012734713</v>
      </c>
      <c r="E36" s="138"/>
      <c r="F36" s="139">
        <f>SUM(F14:F35)</f>
        <v>474773684.71492088</v>
      </c>
      <c r="G36" s="139">
        <f>SUM(G14:G35)</f>
        <v>713651643.97173285</v>
      </c>
      <c r="H36" s="76">
        <f>SUM(F36:G36)-C36</f>
        <v>0</v>
      </c>
      <c r="I36" s="76"/>
      <c r="J36" s="127"/>
      <c r="K36" s="108"/>
      <c r="L36" s="128"/>
      <c r="M36" s="109"/>
      <c r="N36" s="91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</row>
    <row r="37" spans="1:27" x14ac:dyDescent="0.2">
      <c r="A37" s="98">
        <v>28</v>
      </c>
      <c r="B37" s="126" t="s">
        <v>185</v>
      </c>
      <c r="C37" s="171">
        <v>0.95111500000000004</v>
      </c>
      <c r="D37" s="38"/>
      <c r="E37" s="140"/>
      <c r="F37" s="141">
        <f>+C37</f>
        <v>0.95111500000000004</v>
      </c>
      <c r="G37" s="141">
        <f>+C37</f>
        <v>0.95111500000000004</v>
      </c>
      <c r="H37" s="91"/>
      <c r="I37" s="91"/>
      <c r="J37" s="107" t="s">
        <v>186</v>
      </c>
      <c r="K37" s="108"/>
      <c r="L37" s="108"/>
      <c r="M37" s="109"/>
      <c r="N37" s="91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</row>
    <row r="38" spans="1:27" x14ac:dyDescent="0.2">
      <c r="A38" s="98">
        <v>29</v>
      </c>
      <c r="B38" s="126" t="s">
        <v>187</v>
      </c>
      <c r="C38" s="142">
        <f>+C36/C37</f>
        <v>1249507502.9693086</v>
      </c>
      <c r="D38" s="38"/>
      <c r="E38" s="121"/>
      <c r="F38" s="142">
        <f>+F36/F37</f>
        <v>499175898.51376635</v>
      </c>
      <c r="G38" s="142">
        <f>+G36/G37</f>
        <v>750331604.45554197</v>
      </c>
      <c r="H38" s="76">
        <f>SUM(F38:G38)-C38</f>
        <v>0</v>
      </c>
      <c r="I38" s="76"/>
      <c r="J38" s="115" t="s">
        <v>188</v>
      </c>
      <c r="K38" s="128">
        <f>+C35</f>
        <v>8031923.03318753</v>
      </c>
      <c r="L38" s="108"/>
      <c r="M38" s="109"/>
      <c r="N38" s="91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</row>
    <row r="39" spans="1:27" x14ac:dyDescent="0.2">
      <c r="A39" s="98">
        <v>30</v>
      </c>
      <c r="B39" s="126" t="s">
        <v>189</v>
      </c>
      <c r="C39" s="170">
        <v>20535748.503355935</v>
      </c>
      <c r="D39" s="121"/>
      <c r="E39" s="121"/>
      <c r="F39" s="126"/>
      <c r="G39" s="126"/>
      <c r="H39" s="91"/>
      <c r="I39" s="91"/>
      <c r="J39" s="115" t="s">
        <v>190</v>
      </c>
      <c r="K39" s="128">
        <f>+C21</f>
        <v>8840460.579817621</v>
      </c>
      <c r="L39" s="108"/>
      <c r="M39" s="109"/>
      <c r="N39" s="91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</row>
    <row r="40" spans="1:27" x14ac:dyDescent="0.2">
      <c r="A40" s="98">
        <v>31</v>
      </c>
      <c r="B40" s="126"/>
      <c r="C40" s="126"/>
      <c r="D40" s="143"/>
      <c r="E40" s="143"/>
      <c r="F40" s="144"/>
      <c r="G40" s="145"/>
      <c r="H40" s="91"/>
      <c r="I40" s="91"/>
      <c r="J40" s="115" t="s">
        <v>161</v>
      </c>
      <c r="K40" s="128">
        <f>+C22</f>
        <v>3895439.2738404199</v>
      </c>
      <c r="L40" s="108"/>
      <c r="M40" s="109"/>
      <c r="N40" s="91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</row>
    <row r="41" spans="1:27" x14ac:dyDescent="0.2">
      <c r="A41" s="98">
        <v>32</v>
      </c>
      <c r="B41" s="126"/>
      <c r="C41" s="146" t="s">
        <v>191</v>
      </c>
      <c r="D41" s="146" t="s">
        <v>192</v>
      </c>
      <c r="E41" s="146"/>
      <c r="F41" s="147"/>
      <c r="G41" s="148"/>
      <c r="H41" s="91"/>
      <c r="I41" s="91"/>
      <c r="J41" s="115" t="s">
        <v>164</v>
      </c>
      <c r="K41" s="128">
        <f>+C23</f>
        <v>766379.13641918893</v>
      </c>
      <c r="L41" s="108"/>
      <c r="M41" s="109"/>
      <c r="N41" s="91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</row>
    <row r="42" spans="1:27" x14ac:dyDescent="0.2">
      <c r="A42" s="98">
        <v>33</v>
      </c>
      <c r="B42" s="126"/>
      <c r="C42" s="149" t="s">
        <v>193</v>
      </c>
      <c r="D42" s="149" t="s">
        <v>193</v>
      </c>
      <c r="E42" s="149"/>
      <c r="F42" s="150"/>
      <c r="G42" s="151"/>
      <c r="H42" s="91"/>
      <c r="I42" s="91"/>
      <c r="J42" s="115" t="s">
        <v>194</v>
      </c>
      <c r="K42" s="128">
        <f>+C24</f>
        <v>1989467.6013443223</v>
      </c>
      <c r="L42" s="108"/>
      <c r="M42" s="109"/>
      <c r="N42" s="91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</row>
    <row r="43" spans="1:27" x14ac:dyDescent="0.2">
      <c r="A43" s="98">
        <v>34</v>
      </c>
      <c r="B43" s="126"/>
      <c r="C43" s="152" t="s">
        <v>195</v>
      </c>
      <c r="D43" s="153"/>
      <c r="E43" s="153"/>
      <c r="F43" s="146"/>
      <c r="G43" s="146"/>
      <c r="H43" s="91"/>
      <c r="I43" s="91"/>
      <c r="J43" s="115" t="s">
        <v>165</v>
      </c>
      <c r="K43" s="128">
        <f>+C28</f>
        <v>-8666881.7085096519</v>
      </c>
      <c r="L43" s="108"/>
      <c r="M43" s="109"/>
      <c r="N43" s="91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</row>
    <row r="44" spans="1:27" x14ac:dyDescent="0.2">
      <c r="A44" s="98">
        <v>35</v>
      </c>
      <c r="B44" s="126" t="s">
        <v>196</v>
      </c>
      <c r="C44" s="119">
        <f>D36</f>
        <v>57.871050012734713</v>
      </c>
      <c r="D44" s="119">
        <f>C44/$C$37</f>
        <v>60.845481369481831</v>
      </c>
      <c r="E44" s="119"/>
      <c r="F44" s="119"/>
      <c r="G44" s="119"/>
      <c r="H44" s="91"/>
      <c r="I44" s="91"/>
      <c r="J44" s="115" t="s">
        <v>162</v>
      </c>
      <c r="K44" s="128">
        <f>+C32</f>
        <v>876514.03</v>
      </c>
      <c r="L44" s="108"/>
      <c r="M44" s="109"/>
      <c r="N44" s="91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x14ac:dyDescent="0.2">
      <c r="A45" s="98">
        <v>36</v>
      </c>
      <c r="B45" s="126" t="s">
        <v>197</v>
      </c>
      <c r="C45" s="119">
        <f>SUM(D14,D16:D17,D20:D22,D24,D28:D29,D32:D35)</f>
        <v>23.119375689536405</v>
      </c>
      <c r="D45" s="119">
        <f>C45/C$37</f>
        <v>24.307655424986887</v>
      </c>
      <c r="E45" s="119"/>
      <c r="F45" s="126"/>
      <c r="G45" s="126"/>
      <c r="H45" s="91"/>
      <c r="I45" s="91"/>
      <c r="J45" s="115" t="s">
        <v>198</v>
      </c>
      <c r="K45" s="128">
        <f>+C33</f>
        <v>174679766.54322088</v>
      </c>
      <c r="L45" s="108"/>
      <c r="M45" s="109"/>
      <c r="N45" s="91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</row>
    <row r="46" spans="1:27" x14ac:dyDescent="0.2">
      <c r="A46" s="98">
        <v>37</v>
      </c>
      <c r="B46" s="126" t="s">
        <v>199</v>
      </c>
      <c r="C46" s="154">
        <f>SUM(D15,D18:D19,D23,D25:D27,D30:D31)</f>
        <v>34.751674323198316</v>
      </c>
      <c r="D46" s="154">
        <f>C46/C$37</f>
        <v>36.537825944494948</v>
      </c>
      <c r="E46" s="119"/>
      <c r="F46" s="126"/>
      <c r="G46" s="126"/>
      <c r="H46" s="91"/>
      <c r="I46" s="91"/>
      <c r="J46" s="115" t="s">
        <v>200</v>
      </c>
      <c r="K46" s="128">
        <f>+C34</f>
        <v>3531950.8300239993</v>
      </c>
      <c r="L46" s="108"/>
      <c r="M46" s="109"/>
      <c r="N46" s="91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</row>
    <row r="47" spans="1:27" x14ac:dyDescent="0.2">
      <c r="A47" s="98">
        <v>38</v>
      </c>
      <c r="B47" s="126" t="s">
        <v>196</v>
      </c>
      <c r="C47" s="119">
        <f>SUM(C45:C46)</f>
        <v>57.87105001273472</v>
      </c>
      <c r="D47" s="119">
        <f>SUM(D45:D46)</f>
        <v>60.845481369481831</v>
      </c>
      <c r="E47" s="119"/>
      <c r="F47" s="119"/>
      <c r="G47" s="119"/>
      <c r="H47" s="91"/>
      <c r="I47" s="91"/>
      <c r="J47" s="115" t="s">
        <v>201</v>
      </c>
      <c r="K47" s="128">
        <f>+C31</f>
        <v>-27552250.181711692</v>
      </c>
      <c r="L47" s="108"/>
      <c r="M47" s="109"/>
      <c r="N47" s="91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</row>
    <row r="48" spans="1:27" x14ac:dyDescent="0.2">
      <c r="A48" s="96"/>
      <c r="H48" s="91"/>
      <c r="I48" s="91"/>
      <c r="J48" s="115" t="s">
        <v>18</v>
      </c>
      <c r="K48" s="116">
        <f>SUM(K38:K47)</f>
        <v>166392769.13763261</v>
      </c>
      <c r="L48" s="108"/>
      <c r="M48" s="109"/>
      <c r="N48" s="91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</row>
    <row r="49" spans="1:27" x14ac:dyDescent="0.2">
      <c r="A49" s="96"/>
      <c r="B49" s="77" t="s">
        <v>241</v>
      </c>
      <c r="C49" s="91"/>
      <c r="D49" s="91"/>
      <c r="E49" s="155"/>
      <c r="F49" s="155"/>
      <c r="G49" s="155"/>
      <c r="H49" s="91"/>
      <c r="I49" s="91"/>
      <c r="J49" s="115"/>
      <c r="K49" s="108"/>
      <c r="L49" s="108"/>
      <c r="M49" s="109"/>
      <c r="N49" s="91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</row>
    <row r="50" spans="1:27" x14ac:dyDescent="0.2">
      <c r="A50" s="96"/>
      <c r="B50" s="91"/>
      <c r="C50" s="91"/>
      <c r="D50" s="91"/>
      <c r="E50" s="155"/>
      <c r="F50" s="155"/>
      <c r="G50" s="155"/>
      <c r="H50" s="91"/>
      <c r="I50" s="91"/>
      <c r="J50" s="115" t="s">
        <v>206</v>
      </c>
      <c r="K50" s="156">
        <f>SUM(K30,K35,K48)</f>
        <v>1023108341.4449458</v>
      </c>
      <c r="L50" s="108"/>
      <c r="M50" s="109"/>
      <c r="N50" s="91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</row>
    <row r="51" spans="1:27" ht="12" thickBot="1" x14ac:dyDescent="0.25">
      <c r="A51" s="96"/>
      <c r="B51" s="157"/>
      <c r="C51" s="85"/>
      <c r="D51" s="78" t="s">
        <v>202</v>
      </c>
      <c r="E51" s="155"/>
      <c r="F51" s="155"/>
      <c r="G51" s="155"/>
      <c r="H51" s="91"/>
      <c r="I51" s="91"/>
      <c r="J51" s="115"/>
      <c r="K51" s="108"/>
      <c r="L51" s="108"/>
      <c r="M51" s="109"/>
      <c r="N51" s="91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</row>
    <row r="52" spans="1:27" x14ac:dyDescent="0.2">
      <c r="A52" s="96"/>
      <c r="B52" s="79" t="s">
        <v>203</v>
      </c>
      <c r="C52" s="80" t="s">
        <v>204</v>
      </c>
      <c r="D52" s="81" t="s">
        <v>205</v>
      </c>
      <c r="E52" s="155"/>
      <c r="F52" s="155"/>
      <c r="G52" s="155"/>
      <c r="H52" s="91"/>
      <c r="I52" s="91"/>
      <c r="J52" s="115" t="s">
        <v>209</v>
      </c>
      <c r="K52" s="156">
        <f>SUM(C14,C16:C17)</f>
        <v>165316987.24170798</v>
      </c>
      <c r="L52" s="108"/>
      <c r="M52" s="109"/>
      <c r="N52" s="91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</row>
    <row r="53" spans="1:27" x14ac:dyDescent="0.2">
      <c r="A53" s="96"/>
      <c r="B53" s="82" t="s">
        <v>207</v>
      </c>
      <c r="C53" s="83">
        <v>407</v>
      </c>
      <c r="D53" s="172">
        <v>4459451.03318753</v>
      </c>
      <c r="E53" s="155"/>
      <c r="F53" s="155"/>
      <c r="G53" s="155"/>
      <c r="H53" s="91"/>
      <c r="I53" s="91"/>
      <c r="J53" s="115"/>
      <c r="K53" s="158"/>
      <c r="L53" s="108"/>
      <c r="M53" s="109"/>
      <c r="N53" s="91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</row>
    <row r="54" spans="1:27" x14ac:dyDescent="0.2">
      <c r="A54" s="96"/>
      <c r="B54" s="84" t="s">
        <v>208</v>
      </c>
      <c r="C54" s="78">
        <v>407.3</v>
      </c>
      <c r="D54" s="173">
        <v>687420</v>
      </c>
      <c r="E54" s="155"/>
      <c r="F54" s="155"/>
      <c r="G54" s="155"/>
      <c r="H54" s="91"/>
      <c r="I54" s="91"/>
      <c r="J54" s="115" t="s">
        <v>212</v>
      </c>
      <c r="K54" s="159">
        <f>SUM(K50,K52)</f>
        <v>1188425328.6866539</v>
      </c>
      <c r="L54" s="108"/>
      <c r="M54" s="109"/>
      <c r="N54" s="91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</row>
    <row r="55" spans="1:27" ht="12" thickBot="1" x14ac:dyDescent="0.25">
      <c r="A55" s="96"/>
      <c r="B55" s="84" t="s">
        <v>210</v>
      </c>
      <c r="C55" s="78">
        <v>407.3</v>
      </c>
      <c r="D55" s="173">
        <v>2885052</v>
      </c>
      <c r="E55" s="155"/>
      <c r="F55" s="155"/>
      <c r="G55" s="155"/>
      <c r="H55" s="91"/>
      <c r="I55" s="91"/>
      <c r="J55" s="160" t="s">
        <v>214</v>
      </c>
      <c r="K55" s="161">
        <f>+C36-K54</f>
        <v>0</v>
      </c>
      <c r="L55" s="108"/>
      <c r="M55" s="109"/>
      <c r="N55" s="91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</row>
    <row r="56" spans="1:27" ht="12.75" thickTop="1" thickBot="1" x14ac:dyDescent="0.25">
      <c r="A56" s="96"/>
      <c r="B56" s="84" t="s">
        <v>211</v>
      </c>
      <c r="C56" s="85"/>
      <c r="D56" s="86">
        <f>SUM(D53:D55)</f>
        <v>8031923.03318753</v>
      </c>
      <c r="E56" s="155"/>
      <c r="F56" s="155"/>
      <c r="G56" s="155"/>
      <c r="H56" s="91"/>
      <c r="I56" s="91"/>
      <c r="J56" s="115"/>
      <c r="K56" s="108"/>
      <c r="L56" s="108"/>
      <c r="M56" s="109"/>
      <c r="N56" s="91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</row>
    <row r="57" spans="1:27" ht="12.75" thickTop="1" thickBot="1" x14ac:dyDescent="0.25">
      <c r="A57" s="96"/>
      <c r="B57" s="87"/>
      <c r="C57" s="88" t="s">
        <v>213</v>
      </c>
      <c r="D57" s="89">
        <v>0</v>
      </c>
      <c r="E57" s="155"/>
      <c r="F57" s="155"/>
      <c r="G57" s="155"/>
      <c r="H57" s="91"/>
      <c r="I57" s="91"/>
      <c r="J57" s="107" t="s">
        <v>215</v>
      </c>
      <c r="K57" s="108"/>
      <c r="L57" s="108"/>
      <c r="M57" s="109"/>
      <c r="N57" s="91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</row>
    <row r="58" spans="1:27" x14ac:dyDescent="0.2">
      <c r="A58" s="96"/>
      <c r="B58" s="91"/>
      <c r="C58" s="91"/>
      <c r="D58" s="91"/>
      <c r="E58" s="155"/>
      <c r="F58" s="155"/>
      <c r="G58" s="155"/>
      <c r="H58" s="91"/>
      <c r="I58" s="91"/>
      <c r="J58" s="115" t="s">
        <v>216</v>
      </c>
      <c r="K58" s="128">
        <f>+C18</f>
        <v>37089392.406405531</v>
      </c>
      <c r="L58" s="108"/>
      <c r="M58" s="109"/>
      <c r="N58" s="91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</row>
    <row r="59" spans="1:27" x14ac:dyDescent="0.2">
      <c r="A59" s="96"/>
      <c r="B59" s="155"/>
      <c r="C59" s="155"/>
      <c r="D59" s="155"/>
      <c r="E59" s="91"/>
      <c r="F59" s="91"/>
      <c r="G59" s="91"/>
      <c r="H59" s="91"/>
      <c r="I59" s="91"/>
      <c r="J59" s="115" t="s">
        <v>217</v>
      </c>
      <c r="K59" s="128">
        <f>+C26</f>
        <v>126925932.5832969</v>
      </c>
      <c r="L59" s="108"/>
      <c r="M59" s="109"/>
      <c r="N59" s="91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</row>
    <row r="60" spans="1:27" x14ac:dyDescent="0.2">
      <c r="A60" s="96"/>
      <c r="B60" s="155"/>
      <c r="C60" s="155"/>
      <c r="D60" s="155"/>
      <c r="E60" s="91"/>
      <c r="F60" s="91"/>
      <c r="G60" s="91"/>
      <c r="H60" s="91"/>
      <c r="I60" s="91"/>
      <c r="J60" s="115" t="s">
        <v>218</v>
      </c>
      <c r="K60" s="131">
        <f>SUM(K58:K59)</f>
        <v>164015324.98970243</v>
      </c>
      <c r="L60" s="108"/>
      <c r="M60" s="109"/>
      <c r="N60" s="91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</row>
    <row r="61" spans="1:27" x14ac:dyDescent="0.2">
      <c r="A61" s="96"/>
      <c r="B61" s="155"/>
      <c r="C61" s="155"/>
      <c r="D61" s="162"/>
      <c r="E61" s="91"/>
      <c r="F61" s="91"/>
      <c r="G61" s="91"/>
      <c r="H61" s="91"/>
      <c r="I61" s="91"/>
      <c r="J61" s="115" t="s">
        <v>219</v>
      </c>
      <c r="K61" s="178">
        <v>164015324.98970237</v>
      </c>
      <c r="L61" s="108"/>
      <c r="M61" s="109"/>
      <c r="N61" s="91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</row>
    <row r="62" spans="1:27" x14ac:dyDescent="0.2">
      <c r="A62" s="96"/>
      <c r="B62" s="155"/>
      <c r="C62" s="155"/>
      <c r="D62" s="162"/>
      <c r="E62" s="91"/>
      <c r="F62" s="91"/>
      <c r="G62" s="91"/>
      <c r="H62" s="91"/>
      <c r="I62" s="91"/>
      <c r="J62" s="160" t="s">
        <v>214</v>
      </c>
      <c r="K62" s="116">
        <f>+K60-K61</f>
        <v>0</v>
      </c>
      <c r="L62" s="108"/>
      <c r="M62" s="109"/>
      <c r="N62" s="91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</row>
    <row r="63" spans="1:27" x14ac:dyDescent="0.2">
      <c r="A63" s="96"/>
      <c r="B63" s="155"/>
      <c r="C63" s="155"/>
      <c r="D63" s="155"/>
      <c r="E63" s="91"/>
      <c r="F63" s="91"/>
      <c r="G63" s="91"/>
      <c r="H63" s="91"/>
      <c r="I63" s="91"/>
      <c r="J63" s="115"/>
      <c r="K63" s="108"/>
      <c r="L63" s="108"/>
      <c r="M63" s="109"/>
      <c r="N63" s="91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</row>
    <row r="64" spans="1:27" x14ac:dyDescent="0.2">
      <c r="A64" s="96"/>
      <c r="B64" s="155"/>
      <c r="C64" s="155"/>
      <c r="D64" s="155"/>
      <c r="E64" s="91"/>
      <c r="F64" s="91"/>
      <c r="G64" s="91"/>
      <c r="H64" s="91"/>
      <c r="I64" s="91"/>
      <c r="J64" s="115" t="s">
        <v>220</v>
      </c>
      <c r="K64" s="128">
        <f>+C19</f>
        <v>468639005.35613108</v>
      </c>
      <c r="L64" s="108"/>
      <c r="M64" s="109"/>
      <c r="N64" s="91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</row>
    <row r="65" spans="1:27" x14ac:dyDescent="0.2">
      <c r="A65" s="96"/>
      <c r="B65" s="155"/>
      <c r="C65" s="155"/>
      <c r="D65" s="155"/>
      <c r="E65" s="91"/>
      <c r="F65" s="91"/>
      <c r="G65" s="91"/>
      <c r="H65" s="91"/>
      <c r="I65" s="91"/>
      <c r="J65" s="115" t="s">
        <v>221</v>
      </c>
      <c r="K65" s="128">
        <f>+C20</f>
        <v>8072158.7332714284</v>
      </c>
      <c r="L65" s="108"/>
      <c r="M65" s="109"/>
      <c r="N65" s="91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</row>
    <row r="66" spans="1:27" x14ac:dyDescent="0.2">
      <c r="A66" s="96"/>
      <c r="B66" s="155"/>
      <c r="C66" s="155"/>
      <c r="D66" s="155"/>
      <c r="E66" s="91"/>
      <c r="F66" s="91"/>
      <c r="G66" s="91"/>
      <c r="H66" s="91"/>
      <c r="I66" s="91"/>
      <c r="J66" s="115" t="s">
        <v>222</v>
      </c>
      <c r="K66" s="128">
        <f>+C25</f>
        <v>426928.32671306725</v>
      </c>
      <c r="L66" s="108"/>
      <c r="M66" s="109"/>
      <c r="N66" s="91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</row>
    <row r="67" spans="1:27" x14ac:dyDescent="0.2">
      <c r="A67" s="96"/>
      <c r="B67" s="155"/>
      <c r="C67" s="155"/>
      <c r="D67" s="155"/>
      <c r="E67" s="91"/>
      <c r="F67" s="91"/>
      <c r="G67" s="91"/>
      <c r="H67" s="91"/>
      <c r="I67" s="91"/>
      <c r="J67" s="115" t="s">
        <v>223</v>
      </c>
      <c r="K67" s="128">
        <f>+C15</f>
        <v>3913502.79561463</v>
      </c>
      <c r="L67" s="108"/>
      <c r="M67" s="109"/>
      <c r="N67" s="91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</row>
    <row r="68" spans="1:27" x14ac:dyDescent="0.2">
      <c r="A68" s="96"/>
      <c r="B68" s="155"/>
      <c r="C68" s="155"/>
      <c r="D68" s="155"/>
      <c r="E68" s="91"/>
      <c r="F68" s="91"/>
      <c r="G68" s="91"/>
      <c r="H68" s="91"/>
      <c r="I68" s="91"/>
      <c r="J68" s="115" t="s">
        <v>224</v>
      </c>
      <c r="K68" s="131">
        <f>SUM(K64:K67)</f>
        <v>481051595.21173024</v>
      </c>
      <c r="L68" s="108"/>
      <c r="M68" s="109"/>
      <c r="N68" s="91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</row>
    <row r="69" spans="1:27" x14ac:dyDescent="0.2">
      <c r="A69" s="96"/>
      <c r="B69" s="155"/>
      <c r="C69" s="155"/>
      <c r="D69" s="155"/>
      <c r="E69" s="91"/>
      <c r="F69" s="91"/>
      <c r="G69" s="91"/>
      <c r="H69" s="91"/>
      <c r="I69" s="91"/>
      <c r="J69" s="115" t="s">
        <v>225</v>
      </c>
      <c r="K69" s="163">
        <v>481051595.21173018</v>
      </c>
      <c r="L69" s="108"/>
      <c r="M69" s="109"/>
      <c r="N69" s="91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</row>
    <row r="70" spans="1:27" x14ac:dyDescent="0.2">
      <c r="A70" s="96"/>
      <c r="B70" s="155"/>
      <c r="C70" s="155"/>
      <c r="D70" s="155"/>
      <c r="E70" s="91"/>
      <c r="F70" s="91"/>
      <c r="G70" s="91"/>
      <c r="H70" s="91"/>
      <c r="I70" s="91"/>
      <c r="J70" s="160" t="s">
        <v>214</v>
      </c>
      <c r="K70" s="116">
        <f>+K68-K69</f>
        <v>0</v>
      </c>
      <c r="L70" s="108"/>
      <c r="M70" s="109"/>
      <c r="N70" s="91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</row>
    <row r="71" spans="1:27" x14ac:dyDescent="0.2">
      <c r="A71" s="96"/>
      <c r="B71" s="155"/>
      <c r="C71" s="155"/>
      <c r="D71" s="155"/>
      <c r="E71" s="91"/>
      <c r="F71" s="91"/>
      <c r="G71" s="91"/>
      <c r="H71" s="91"/>
      <c r="I71" s="91"/>
      <c r="J71" s="115"/>
      <c r="K71" s="108"/>
      <c r="L71" s="108"/>
      <c r="M71" s="109"/>
      <c r="N71" s="91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</row>
    <row r="72" spans="1:27" x14ac:dyDescent="0.2">
      <c r="A72" s="96"/>
      <c r="B72" s="155"/>
      <c r="C72" s="155"/>
      <c r="D72" s="155"/>
      <c r="E72" s="91"/>
      <c r="F72" s="91"/>
      <c r="G72" s="91"/>
      <c r="H72" s="91"/>
      <c r="I72" s="91"/>
      <c r="J72" s="115" t="s">
        <v>226</v>
      </c>
      <c r="K72" s="128">
        <f>+C27</f>
        <v>112486392.77130413</v>
      </c>
      <c r="L72" s="108"/>
      <c r="M72" s="109"/>
      <c r="N72" s="91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</row>
    <row r="73" spans="1:27" x14ac:dyDescent="0.2">
      <c r="A73" s="96"/>
      <c r="B73" s="155"/>
      <c r="C73" s="155"/>
      <c r="D73" s="155"/>
      <c r="E73" s="91"/>
      <c r="F73" s="91"/>
      <c r="G73" s="91"/>
      <c r="H73" s="91"/>
      <c r="I73" s="91"/>
      <c r="J73" s="115" t="s">
        <v>227</v>
      </c>
      <c r="K73" s="179">
        <v>112486392.77130413</v>
      </c>
      <c r="L73" s="108"/>
      <c r="M73" s="109"/>
      <c r="N73" s="91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</row>
    <row r="74" spans="1:27" x14ac:dyDescent="0.2">
      <c r="A74" s="96"/>
      <c r="B74" s="155"/>
      <c r="C74" s="155"/>
      <c r="D74" s="155"/>
      <c r="E74" s="91"/>
      <c r="F74" s="91"/>
      <c r="G74" s="91"/>
      <c r="H74" s="91"/>
      <c r="I74" s="91"/>
      <c r="J74" s="160" t="s">
        <v>214</v>
      </c>
      <c r="K74" s="116">
        <f>+K72-K73</f>
        <v>0</v>
      </c>
      <c r="L74" s="108"/>
      <c r="M74" s="109"/>
      <c r="N74" s="91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</row>
    <row r="75" spans="1:27" x14ac:dyDescent="0.2">
      <c r="A75" s="96"/>
      <c r="B75" s="155"/>
      <c r="C75" s="155"/>
      <c r="D75" s="155"/>
      <c r="E75" s="91"/>
      <c r="F75" s="91"/>
      <c r="G75" s="91"/>
      <c r="H75" s="91"/>
      <c r="I75" s="91"/>
      <c r="J75" s="115"/>
      <c r="K75" s="108"/>
      <c r="L75" s="108"/>
      <c r="M75" s="109"/>
      <c r="N75" s="91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</row>
    <row r="76" spans="1:27" x14ac:dyDescent="0.2">
      <c r="A76" s="96"/>
      <c r="B76" s="155"/>
      <c r="C76" s="155"/>
      <c r="D76" s="155"/>
      <c r="E76" s="91"/>
      <c r="F76" s="91"/>
      <c r="G76" s="91"/>
      <c r="H76" s="91"/>
      <c r="I76" s="91"/>
      <c r="J76" s="115" t="s">
        <v>228</v>
      </c>
      <c r="K76" s="128">
        <f>+C29</f>
        <v>108205898.55701637</v>
      </c>
      <c r="L76" s="108"/>
      <c r="M76" s="109"/>
      <c r="N76" s="91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</row>
    <row r="77" spans="1:27" x14ac:dyDescent="0.2">
      <c r="A77" s="96"/>
      <c r="B77" s="155"/>
      <c r="C77" s="155"/>
      <c r="D77" s="155"/>
      <c r="E77" s="91"/>
      <c r="F77" s="91"/>
      <c r="G77" s="91"/>
      <c r="H77" s="91"/>
      <c r="I77" s="91"/>
      <c r="J77" s="115" t="s">
        <v>229</v>
      </c>
      <c r="K77" s="178">
        <v>108205898.55701637</v>
      </c>
      <c r="L77" s="108"/>
      <c r="M77" s="109"/>
      <c r="N77" s="91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</row>
    <row r="78" spans="1:27" x14ac:dyDescent="0.2">
      <c r="A78" s="96"/>
      <c r="B78" s="155"/>
      <c r="C78" s="155"/>
      <c r="D78" s="155"/>
      <c r="E78" s="91"/>
      <c r="F78" s="91"/>
      <c r="G78" s="91"/>
      <c r="H78" s="91"/>
      <c r="I78" s="91"/>
      <c r="J78" s="160" t="s">
        <v>214</v>
      </c>
      <c r="K78" s="116">
        <f>+K76-K77</f>
        <v>0</v>
      </c>
      <c r="L78" s="108"/>
      <c r="M78" s="109"/>
      <c r="N78" s="91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</row>
    <row r="79" spans="1:27" x14ac:dyDescent="0.2">
      <c r="A79" s="96"/>
      <c r="B79" s="155"/>
      <c r="C79" s="155"/>
      <c r="D79" s="155"/>
      <c r="E79" s="91"/>
      <c r="F79" s="91"/>
      <c r="G79" s="91"/>
      <c r="H79" s="91"/>
      <c r="I79" s="91"/>
      <c r="J79" s="115"/>
      <c r="K79" s="108"/>
      <c r="L79" s="108"/>
      <c r="M79" s="109"/>
      <c r="N79" s="91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</row>
    <row r="80" spans="1:27" x14ac:dyDescent="0.2">
      <c r="A80" s="96"/>
      <c r="B80" s="155"/>
      <c r="C80" s="155"/>
      <c r="D80" s="155"/>
      <c r="E80" s="91"/>
      <c r="F80" s="91"/>
      <c r="G80" s="91"/>
      <c r="H80" s="91"/>
      <c r="I80" s="91"/>
      <c r="J80" s="115" t="s">
        <v>230</v>
      </c>
      <c r="K80" s="128">
        <f>+C30</f>
        <v>-9043639.2224400043</v>
      </c>
      <c r="L80" s="108"/>
      <c r="M80" s="109"/>
      <c r="N80" s="91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</row>
    <row r="81" spans="1:27" x14ac:dyDescent="0.2">
      <c r="A81" s="96"/>
      <c r="B81" s="155"/>
      <c r="C81" s="155"/>
      <c r="D81" s="155"/>
      <c r="E81" s="91"/>
      <c r="F81" s="91"/>
      <c r="G81" s="91"/>
      <c r="H81" s="91"/>
      <c r="I81" s="91"/>
      <c r="J81" s="115" t="s">
        <v>231</v>
      </c>
      <c r="K81" s="179">
        <v>-9043639.2224400043</v>
      </c>
      <c r="L81" s="108"/>
      <c r="M81" s="109"/>
      <c r="N81" s="91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</row>
    <row r="82" spans="1:27" x14ac:dyDescent="0.2">
      <c r="A82" s="96"/>
      <c r="B82" s="155"/>
      <c r="C82" s="155"/>
      <c r="D82" s="155"/>
      <c r="E82" s="91"/>
      <c r="F82" s="91"/>
      <c r="G82" s="91"/>
      <c r="H82" s="91"/>
      <c r="I82" s="91"/>
      <c r="J82" s="160" t="s">
        <v>214</v>
      </c>
      <c r="K82" s="116">
        <f>+K80-K81</f>
        <v>0</v>
      </c>
      <c r="L82" s="108"/>
      <c r="M82" s="109"/>
      <c r="N82" s="91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</row>
    <row r="83" spans="1:27" ht="12" thickBot="1" x14ac:dyDescent="0.25">
      <c r="A83" s="96"/>
      <c r="B83" s="91"/>
      <c r="C83" s="91"/>
      <c r="D83" s="91"/>
      <c r="E83" s="91"/>
      <c r="F83" s="91"/>
      <c r="G83" s="91"/>
      <c r="H83" s="91"/>
      <c r="I83" s="91"/>
      <c r="J83" s="164"/>
      <c r="K83" s="165"/>
      <c r="L83" s="165"/>
      <c r="M83" s="166"/>
      <c r="N83" s="91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</row>
    <row r="84" spans="1:27" x14ac:dyDescent="0.2">
      <c r="A84" s="96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</row>
    <row r="85" spans="1:27" x14ac:dyDescent="0.2">
      <c r="A85" s="96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</row>
    <row r="86" spans="1:27" x14ac:dyDescent="0.2">
      <c r="A86" s="96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27" x14ac:dyDescent="0.2">
      <c r="A87" s="96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27" x14ac:dyDescent="0.2">
      <c r="A88" s="96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27" x14ac:dyDescent="0.2">
      <c r="A89" s="96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27" x14ac:dyDescent="0.2">
      <c r="A90" s="96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27" x14ac:dyDescent="0.2">
      <c r="A91" s="96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27" x14ac:dyDescent="0.2">
      <c r="A92" s="96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27" x14ac:dyDescent="0.2">
      <c r="A93" s="96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27" x14ac:dyDescent="0.2">
      <c r="A94" s="96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27" x14ac:dyDescent="0.2">
      <c r="A95" s="96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27" x14ac:dyDescent="0.2">
      <c r="A96" s="96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x14ac:dyDescent="0.2">
      <c r="A97" s="96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x14ac:dyDescent="0.2">
      <c r="A98" s="96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x14ac:dyDescent="0.2">
      <c r="A99" s="96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  <row r="100" spans="1:27" x14ac:dyDescent="0.2">
      <c r="A100" s="96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</row>
    <row r="101" spans="1:27" x14ac:dyDescent="0.2">
      <c r="A101" s="96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</row>
    <row r="102" spans="1:27" x14ac:dyDescent="0.2">
      <c r="A102" s="96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</row>
    <row r="103" spans="1:27" x14ac:dyDescent="0.2">
      <c r="A103" s="96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</row>
    <row r="104" spans="1:27" x14ac:dyDescent="0.2">
      <c r="A104" s="96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</row>
    <row r="105" spans="1:27" x14ac:dyDescent="0.2">
      <c r="A105" s="96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</row>
    <row r="106" spans="1:27" x14ac:dyDescent="0.2">
      <c r="A106" s="96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</row>
    <row r="107" spans="1:27" x14ac:dyDescent="0.2">
      <c r="A107" s="96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</row>
    <row r="108" spans="1:27" x14ac:dyDescent="0.2">
      <c r="A108" s="96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</row>
    <row r="109" spans="1:27" x14ac:dyDescent="0.2">
      <c r="A109" s="96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</row>
    <row r="110" spans="1:27" x14ac:dyDescent="0.2">
      <c r="A110" s="96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</row>
    <row r="111" spans="1:27" x14ac:dyDescent="0.2">
      <c r="A111" s="96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</row>
    <row r="112" spans="1:27" x14ac:dyDescent="0.2">
      <c r="A112" s="96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</row>
    <row r="113" spans="1:27" x14ac:dyDescent="0.2">
      <c r="A113" s="96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</row>
    <row r="114" spans="1:27" x14ac:dyDescent="0.2">
      <c r="A114" s="96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</row>
    <row r="115" spans="1:27" x14ac:dyDescent="0.2">
      <c r="A115" s="96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</row>
    <row r="116" spans="1:27" x14ac:dyDescent="0.2">
      <c r="A116" s="96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</row>
    <row r="117" spans="1:27" x14ac:dyDescent="0.2">
      <c r="A117" s="96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</row>
    <row r="118" spans="1:27" x14ac:dyDescent="0.2">
      <c r="A118" s="96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</row>
    <row r="119" spans="1:27" x14ac:dyDescent="0.2">
      <c r="A119" s="96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</row>
    <row r="120" spans="1:27" x14ac:dyDescent="0.2">
      <c r="A120" s="96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</row>
    <row r="121" spans="1:27" x14ac:dyDescent="0.2">
      <c r="A121" s="96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</row>
    <row r="122" spans="1:27" x14ac:dyDescent="0.2">
      <c r="A122" s="96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</row>
    <row r="123" spans="1:27" x14ac:dyDescent="0.2">
      <c r="A123" s="96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</row>
    <row r="124" spans="1:27" x14ac:dyDescent="0.2">
      <c r="A124" s="96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</row>
    <row r="125" spans="1:27" x14ac:dyDescent="0.2">
      <c r="A125" s="96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</row>
    <row r="126" spans="1:27" x14ac:dyDescent="0.2">
      <c r="A126" s="96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</row>
    <row r="127" spans="1:27" x14ac:dyDescent="0.2">
      <c r="A127" s="96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</row>
    <row r="128" spans="1:27" x14ac:dyDescent="0.2">
      <c r="A128" s="96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</row>
    <row r="129" spans="1:27" x14ac:dyDescent="0.2">
      <c r="A129" s="96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</row>
    <row r="130" spans="1:27" x14ac:dyDescent="0.2">
      <c r="A130" s="96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</row>
    <row r="131" spans="1:27" x14ac:dyDescent="0.2">
      <c r="A131" s="96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D15" sqref="D15"/>
    </sheetView>
  </sheetViews>
  <sheetFormatPr defaultColWidth="9.140625" defaultRowHeight="11.25" x14ac:dyDescent="0.2"/>
  <cols>
    <col min="1" max="1" width="4.28515625" style="67" bestFit="1" customWidth="1"/>
    <col min="2" max="2" width="46.28515625" style="67" customWidth="1"/>
    <col min="3" max="3" width="15" style="67" customWidth="1"/>
    <col min="4" max="4" width="11.5703125" style="67" bestFit="1" customWidth="1"/>
    <col min="5" max="5" width="10.7109375" style="67" bestFit="1" customWidth="1"/>
    <col min="6" max="6" width="17.28515625" style="67" bestFit="1" customWidth="1"/>
    <col min="7" max="7" width="9.85546875" style="67" bestFit="1" customWidth="1"/>
    <col min="8" max="8" width="10.7109375" style="67" bestFit="1" customWidth="1"/>
    <col min="9" max="9" width="12" style="67" bestFit="1" customWidth="1"/>
    <col min="10" max="10" width="7.85546875" style="67" bestFit="1" customWidth="1"/>
    <col min="11" max="11" width="14.5703125" style="67" bestFit="1" customWidth="1"/>
    <col min="12" max="12" width="9.140625" style="67"/>
    <col min="13" max="13" width="10.28515625" style="67" bestFit="1" customWidth="1"/>
    <col min="14" max="16384" width="9.140625" style="67"/>
  </cols>
  <sheetData>
    <row r="1" spans="1:20" x14ac:dyDescent="0.2">
      <c r="A1" s="332" t="str">
        <f>'Exh. JAP-11 Page 1'!A1:M1</f>
        <v>Puget Sound Energy</v>
      </c>
      <c r="B1" s="332"/>
      <c r="C1" s="332"/>
      <c r="D1" s="332"/>
      <c r="E1" s="332"/>
      <c r="F1" s="332"/>
      <c r="G1" s="332"/>
      <c r="H1" s="332"/>
      <c r="I1" s="33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">
      <c r="A2" s="332" t="str">
        <f>'Exh. JAP-11 Page 1'!A2:M2</f>
        <v>2019 General Rate Case (GRC) - Revised A-1 filing</v>
      </c>
      <c r="B2" s="332"/>
      <c r="C2" s="332"/>
      <c r="D2" s="332"/>
      <c r="E2" s="332"/>
      <c r="F2" s="332"/>
      <c r="G2" s="332"/>
      <c r="H2" s="332"/>
      <c r="I2" s="33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 x14ac:dyDescent="0.2">
      <c r="A3" s="332" t="str">
        <f>'Exh. JAP-11 Page 1'!A3:M3</f>
        <v>Electric Decoupling Mechanism (Schedule 142)</v>
      </c>
      <c r="B3" s="332"/>
      <c r="C3" s="332"/>
      <c r="D3" s="332"/>
      <c r="E3" s="332"/>
      <c r="F3" s="332"/>
      <c r="G3" s="332"/>
      <c r="H3" s="332"/>
      <c r="I3" s="33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332" t="s">
        <v>80</v>
      </c>
      <c r="B4" s="332"/>
      <c r="C4" s="332"/>
      <c r="D4" s="332"/>
      <c r="E4" s="332"/>
      <c r="F4" s="332"/>
      <c r="G4" s="332"/>
      <c r="H4" s="332"/>
      <c r="I4" s="33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334" t="str">
        <f>'Exh. JAP-11 Page 1'!A5:M5</f>
        <v>Proposed Effective December 1, 2020</v>
      </c>
      <c r="B5" s="334"/>
      <c r="C5" s="334"/>
      <c r="D5" s="334"/>
      <c r="E5" s="334"/>
      <c r="F5" s="334"/>
      <c r="G5" s="334"/>
      <c r="H5" s="334"/>
      <c r="I5" s="334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31"/>
      <c r="G6" s="31"/>
      <c r="H6" s="31"/>
      <c r="I6" s="31"/>
      <c r="J6" s="31"/>
      <c r="K6" s="1"/>
      <c r="L6" s="1"/>
      <c r="M6" s="1"/>
      <c r="N6" s="1"/>
      <c r="O6" s="1"/>
      <c r="P6" s="1"/>
      <c r="Q6" s="1"/>
      <c r="R6" s="1"/>
      <c r="S6" s="1"/>
      <c r="T6" s="1"/>
    </row>
    <row r="8" spans="1:20" ht="12.75" customHeight="1" x14ac:dyDescent="0.2">
      <c r="A8" s="3" t="s">
        <v>58</v>
      </c>
      <c r="D8" s="31" t="s">
        <v>60</v>
      </c>
      <c r="E8" s="31" t="s">
        <v>61</v>
      </c>
      <c r="F8" s="31" t="s">
        <v>61</v>
      </c>
      <c r="G8" s="31" t="s">
        <v>109</v>
      </c>
      <c r="H8" s="31" t="s">
        <v>61</v>
      </c>
      <c r="I8" s="31" t="s">
        <v>61</v>
      </c>
    </row>
    <row r="9" spans="1:20" s="73" customFormat="1" ht="10.15" customHeight="1" x14ac:dyDescent="0.2">
      <c r="A9" s="4" t="s">
        <v>59</v>
      </c>
      <c r="B9" s="71"/>
      <c r="C9" s="5" t="s">
        <v>14</v>
      </c>
      <c r="D9" s="6">
        <v>7</v>
      </c>
      <c r="E9" s="6" t="s">
        <v>45</v>
      </c>
      <c r="F9" s="6" t="s">
        <v>62</v>
      </c>
      <c r="G9" s="6" t="s">
        <v>110</v>
      </c>
      <c r="H9" s="6" t="s">
        <v>46</v>
      </c>
      <c r="I9" s="6" t="s">
        <v>47</v>
      </c>
    </row>
    <row r="10" spans="1:20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9</v>
      </c>
      <c r="G10" s="18" t="s">
        <v>8</v>
      </c>
      <c r="H10" s="18" t="s">
        <v>7</v>
      </c>
      <c r="I10" s="18" t="s">
        <v>6</v>
      </c>
    </row>
    <row r="11" spans="1:20" s="222" customFormat="1" x14ac:dyDescent="0.2">
      <c r="A11" s="198">
        <v>1</v>
      </c>
      <c r="B11" s="198"/>
      <c r="C11" s="198"/>
      <c r="D11" s="198"/>
      <c r="E11" s="198"/>
      <c r="F11" s="198"/>
      <c r="G11" s="198"/>
      <c r="H11" s="198"/>
      <c r="I11" s="198"/>
    </row>
    <row r="12" spans="1:20" x14ac:dyDescent="0.2">
      <c r="A12" s="198">
        <f>A11+1</f>
        <v>2</v>
      </c>
      <c r="B12" s="209" t="s">
        <v>249</v>
      </c>
      <c r="C12" s="18"/>
      <c r="D12" s="18"/>
      <c r="E12" s="18"/>
      <c r="F12" s="18"/>
      <c r="G12" s="18"/>
      <c r="H12" s="18"/>
      <c r="I12" s="18"/>
    </row>
    <row r="13" spans="1:20" x14ac:dyDescent="0.2">
      <c r="A13" s="198">
        <f t="shared" ref="A13:A21" si="0">A12+1</f>
        <v>3</v>
      </c>
      <c r="B13" s="19" t="s">
        <v>67</v>
      </c>
      <c r="C13" s="16" t="s">
        <v>232</v>
      </c>
      <c r="D13" s="167">
        <f>'Exh. JAP-11 Page 1'!$D$18</f>
        <v>415408083.25412941</v>
      </c>
      <c r="E13" s="167">
        <f>'Exh. JAP-11 Page 1'!$E$18</f>
        <v>89967203.587776572</v>
      </c>
      <c r="F13" s="167">
        <f>'Exh. JAP-11 Page 1'!$F$18</f>
        <v>100488279.40367931</v>
      </c>
      <c r="G13" s="167">
        <f>'Exh. JAP-11 Page 1'!$G$18</f>
        <v>4029019.4600000009</v>
      </c>
      <c r="H13" s="167">
        <f>'Exh. JAP-11 Page 1'!$H$18</f>
        <v>53872436.234119162</v>
      </c>
      <c r="I13" s="167">
        <f>'Exh. JAP-11 Page 1'!$I$18</f>
        <v>39441936.872193784</v>
      </c>
      <c r="J13" s="68"/>
      <c r="K13" s="20"/>
    </row>
    <row r="14" spans="1:20" x14ac:dyDescent="0.2">
      <c r="A14" s="198">
        <f t="shared" si="0"/>
        <v>4</v>
      </c>
      <c r="B14" s="19" t="s">
        <v>17</v>
      </c>
      <c r="C14" s="16" t="s">
        <v>86</v>
      </c>
      <c r="D14" s="175">
        <f>'12ME Dec 2018 Cust Data'!$P$8</f>
        <v>1010572</v>
      </c>
      <c r="E14" s="175">
        <f>'12ME Dec 2018 Cust Data'!$P$10+'12ME Dec 2018 Cust Data'!$P$27</f>
        <v>121598</v>
      </c>
      <c r="F14" s="175">
        <f>SUM('12ME Dec 2018 Cust Data'!$P$9,'12ME Dec 2018 Cust Data'!$P$11,'12ME Dec 2018 Cust Data'!$P$13,'12ME Dec 2018 Cust Data'!$P$15,'12ME Dec 2018 Cust Data'!$P$17,'12ME Dec 2018 Cust Data'!$P$28)</f>
        <v>8321</v>
      </c>
      <c r="G14" s="175">
        <f>'12ME Dec 2018 Cust Data'!$P$32</f>
        <v>94</v>
      </c>
      <c r="H14" s="175">
        <f>'12ME Dec 2018 Cust Data'!$P$12+'12ME Dec 2018 Cust Data'!$P$29</f>
        <v>841</v>
      </c>
      <c r="I14" s="175">
        <f>'12ME Dec 2018 Cust Data'!$P$14+'12ME Dec 2018 Cust Data'!$P$30+'12ME Dec 2018 Cust Data'!$P$31</f>
        <v>487</v>
      </c>
      <c r="J14" s="74"/>
    </row>
    <row r="15" spans="1:20" x14ac:dyDescent="0.2">
      <c r="A15" s="198">
        <f t="shared" si="0"/>
        <v>5</v>
      </c>
      <c r="B15" s="19" t="s">
        <v>66</v>
      </c>
      <c r="C15" s="18" t="str">
        <f>"("&amp;A13&amp;") / ("&amp;A14&amp;")"</f>
        <v>(3) / (4)</v>
      </c>
      <c r="D15" s="69">
        <f t="shared" ref="D15:I15" si="1">ROUND(D13/D14,2)</f>
        <v>411.06</v>
      </c>
      <c r="E15" s="69">
        <f t="shared" si="1"/>
        <v>739.87</v>
      </c>
      <c r="F15" s="69">
        <f t="shared" si="1"/>
        <v>12076.47</v>
      </c>
      <c r="G15" s="69">
        <f t="shared" si="1"/>
        <v>42861.91</v>
      </c>
      <c r="H15" s="69">
        <f t="shared" si="1"/>
        <v>64057.59</v>
      </c>
      <c r="I15" s="69">
        <f t="shared" si="1"/>
        <v>80989.600000000006</v>
      </c>
    </row>
    <row r="16" spans="1:20" x14ac:dyDescent="0.2">
      <c r="A16" s="198">
        <f t="shared" si="0"/>
        <v>6</v>
      </c>
    </row>
    <row r="17" spans="1:9" s="222" customFormat="1" x14ac:dyDescent="0.2">
      <c r="A17" s="198">
        <f t="shared" si="0"/>
        <v>7</v>
      </c>
    </row>
    <row r="18" spans="1:9" x14ac:dyDescent="0.2">
      <c r="A18" s="198">
        <f t="shared" si="0"/>
        <v>8</v>
      </c>
      <c r="B18" s="209" t="s">
        <v>250</v>
      </c>
      <c r="C18" s="198"/>
      <c r="D18" s="198"/>
      <c r="E18" s="198"/>
      <c r="F18" s="198"/>
      <c r="G18" s="198"/>
      <c r="H18" s="198"/>
      <c r="I18" s="198"/>
    </row>
    <row r="19" spans="1:9" x14ac:dyDescent="0.2">
      <c r="A19" s="198">
        <f t="shared" si="0"/>
        <v>9</v>
      </c>
      <c r="B19" s="199" t="s">
        <v>67</v>
      </c>
      <c r="C19" s="196" t="s">
        <v>232</v>
      </c>
      <c r="D19" s="237">
        <f>'Exh. JAP-11 Page 1'!$D$28</f>
        <v>426416203.66325021</v>
      </c>
      <c r="E19" s="237">
        <f>'Exh. JAP-11 Page 1'!$E$28</f>
        <v>92694404.036883086</v>
      </c>
      <c r="F19" s="237">
        <f>'Exh. JAP-11 Page 1'!$F$28</f>
        <v>103584720.35665876</v>
      </c>
      <c r="G19" s="237">
        <f>'Exh. JAP-11 Page 1'!$G$28</f>
        <v>4029019.4600000009</v>
      </c>
      <c r="H19" s="237">
        <f>'Exh. JAP-11 Page 1'!$H$28</f>
        <v>55723482.837474674</v>
      </c>
      <c r="I19" s="237">
        <f>'Exh. JAP-11 Page 1'!$I$28</f>
        <v>40733897.927212596</v>
      </c>
    </row>
    <row r="20" spans="1:9" x14ac:dyDescent="0.2">
      <c r="A20" s="198">
        <f t="shared" si="0"/>
        <v>10</v>
      </c>
      <c r="B20" s="199" t="s">
        <v>17</v>
      </c>
      <c r="C20" s="196" t="s">
        <v>86</v>
      </c>
      <c r="D20" s="238">
        <f>'12ME Dec 2018 Cust Data'!$P$8</f>
        <v>1010572</v>
      </c>
      <c r="E20" s="238">
        <f>'12ME Dec 2018 Cust Data'!$P$10+'12ME Dec 2018 Cust Data'!$P$27</f>
        <v>121598</v>
      </c>
      <c r="F20" s="238">
        <f>SUM('12ME Dec 2018 Cust Data'!$P$9,'12ME Dec 2018 Cust Data'!$P$11,'12ME Dec 2018 Cust Data'!$P$13,'12ME Dec 2018 Cust Data'!$P$15,'12ME Dec 2018 Cust Data'!$P$17,'12ME Dec 2018 Cust Data'!$P$28)</f>
        <v>8321</v>
      </c>
      <c r="G20" s="238">
        <f>'12ME Dec 2018 Cust Data'!$P$32</f>
        <v>94</v>
      </c>
      <c r="H20" s="238">
        <f>'12ME Dec 2018 Cust Data'!$P$12+'12ME Dec 2018 Cust Data'!$P$29</f>
        <v>841</v>
      </c>
      <c r="I20" s="238">
        <f>'12ME Dec 2018 Cust Data'!$P$14+'12ME Dec 2018 Cust Data'!$P$30+'12ME Dec 2018 Cust Data'!$P$31</f>
        <v>487</v>
      </c>
    </row>
    <row r="21" spans="1:9" x14ac:dyDescent="0.2">
      <c r="A21" s="198">
        <f t="shared" si="0"/>
        <v>11</v>
      </c>
      <c r="B21" s="199" t="s">
        <v>66</v>
      </c>
      <c r="C21" s="198" t="str">
        <f>"("&amp;A19&amp;") / ("&amp;A20&amp;")"</f>
        <v>(9) / (10)</v>
      </c>
      <c r="D21" s="69">
        <f t="shared" ref="D21:I21" si="2">ROUND(D19/D20,2)</f>
        <v>421.96</v>
      </c>
      <c r="E21" s="69">
        <f t="shared" si="2"/>
        <v>762.3</v>
      </c>
      <c r="F21" s="69">
        <f t="shared" si="2"/>
        <v>12448.59</v>
      </c>
      <c r="G21" s="69">
        <f t="shared" si="2"/>
        <v>42861.91</v>
      </c>
      <c r="H21" s="69">
        <f t="shared" si="2"/>
        <v>66258.600000000006</v>
      </c>
      <c r="I21" s="69">
        <f t="shared" si="2"/>
        <v>83642.5</v>
      </c>
    </row>
    <row r="22" spans="1:9" x14ac:dyDescent="0.2">
      <c r="A22" s="222"/>
    </row>
    <row r="23" spans="1:9" x14ac:dyDescent="0.2">
      <c r="A23" s="198"/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8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>
      <selection activeCell="G18" sqref="G18:G19"/>
    </sheetView>
  </sheetViews>
  <sheetFormatPr defaultColWidth="9.140625" defaultRowHeight="11.25" x14ac:dyDescent="0.2"/>
  <cols>
    <col min="1" max="1" width="4.42578125" style="67" bestFit="1" customWidth="1"/>
    <col min="2" max="2" width="38.5703125" style="67" customWidth="1"/>
    <col min="3" max="3" width="14.5703125" style="67" customWidth="1"/>
    <col min="4" max="6" width="17.7109375" style="67" customWidth="1"/>
    <col min="7" max="7" width="15.42578125" style="67" customWidth="1"/>
    <col min="8" max="8" width="10.28515625" style="67" bestFit="1" customWidth="1"/>
    <col min="9" max="16384" width="9.140625" style="67"/>
  </cols>
  <sheetData>
    <row r="1" spans="1:15" x14ac:dyDescent="0.2">
      <c r="A1" s="332" t="str">
        <f>'Exh. JAP-11 Page 1'!A1:M1</f>
        <v>Puget Sound Energy</v>
      </c>
      <c r="B1" s="332"/>
      <c r="C1" s="332"/>
      <c r="D1" s="332"/>
      <c r="E1" s="332"/>
      <c r="F1" s="332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 x14ac:dyDescent="0.2">
      <c r="A2" s="332" t="str">
        <f>'Exh. JAP-11 Page 1'!A2:M2</f>
        <v>2019 General Rate Case (GRC) - Revised A-1 filing</v>
      </c>
      <c r="B2" s="332"/>
      <c r="C2" s="332"/>
      <c r="D2" s="332"/>
      <c r="E2" s="332"/>
      <c r="F2" s="332"/>
      <c r="G2" s="1"/>
      <c r="H2" s="1"/>
      <c r="I2" s="1"/>
      <c r="J2" s="1"/>
      <c r="K2" s="1"/>
      <c r="L2" s="1"/>
      <c r="M2" s="1"/>
      <c r="N2" s="1"/>
      <c r="O2" s="1"/>
    </row>
    <row r="3" spans="1:15" ht="12.75" customHeight="1" x14ac:dyDescent="0.2">
      <c r="A3" s="332" t="str">
        <f>'Exh. JAP-11 Page 1'!A3:M3</f>
        <v>Electric Decoupling Mechanism (Schedule 142)</v>
      </c>
      <c r="B3" s="332"/>
      <c r="C3" s="332"/>
      <c r="D3" s="332"/>
      <c r="E3" s="332"/>
      <c r="F3" s="332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332" t="s">
        <v>81</v>
      </c>
      <c r="B4" s="332"/>
      <c r="C4" s="332"/>
      <c r="D4" s="332"/>
      <c r="E4" s="332"/>
      <c r="F4" s="332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334" t="str">
        <f>'Exh. JAP-11 Page 1'!A5:M5</f>
        <v>Proposed Effective December 1, 2020</v>
      </c>
      <c r="B5" s="334"/>
      <c r="C5" s="334"/>
      <c r="D5" s="334"/>
      <c r="E5" s="334"/>
      <c r="F5" s="334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F6" s="31"/>
      <c r="G6" s="1"/>
      <c r="H6" s="1"/>
      <c r="I6" s="1"/>
      <c r="J6" s="1"/>
      <c r="K6" s="1"/>
      <c r="L6" s="1"/>
      <c r="M6" s="1"/>
      <c r="N6" s="1"/>
      <c r="O6" s="1"/>
    </row>
    <row r="8" spans="1:15" ht="12.75" customHeight="1" x14ac:dyDescent="0.2">
      <c r="A8" s="3" t="s">
        <v>58</v>
      </c>
      <c r="D8" s="31" t="s">
        <v>60</v>
      </c>
      <c r="E8" s="31" t="s">
        <v>61</v>
      </c>
      <c r="F8" s="31" t="s">
        <v>61</v>
      </c>
      <c r="G8" s="31" t="s">
        <v>109</v>
      </c>
    </row>
    <row r="9" spans="1:15" ht="10.15" customHeight="1" x14ac:dyDescent="0.2">
      <c r="A9" s="4" t="s">
        <v>59</v>
      </c>
      <c r="B9" s="71"/>
      <c r="C9" s="5" t="s">
        <v>14</v>
      </c>
      <c r="D9" s="6">
        <v>7</v>
      </c>
      <c r="E9" s="6" t="s">
        <v>45</v>
      </c>
      <c r="F9" s="6" t="s">
        <v>62</v>
      </c>
      <c r="G9" s="6" t="s">
        <v>110</v>
      </c>
    </row>
    <row r="10" spans="1:15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9</v>
      </c>
      <c r="G10" s="18" t="s">
        <v>8</v>
      </c>
    </row>
    <row r="11" spans="1:15" s="222" customFormat="1" x14ac:dyDescent="0.2">
      <c r="A11" s="198"/>
      <c r="B11" s="198"/>
      <c r="C11" s="198"/>
      <c r="D11" s="198"/>
      <c r="E11" s="198"/>
      <c r="F11" s="198"/>
      <c r="G11" s="198"/>
    </row>
    <row r="12" spans="1:15" x14ac:dyDescent="0.2">
      <c r="A12" s="198">
        <v>1</v>
      </c>
      <c r="B12" s="209" t="s">
        <v>249</v>
      </c>
      <c r="C12" s="18"/>
      <c r="D12" s="18"/>
      <c r="E12" s="18"/>
      <c r="F12" s="18"/>
      <c r="G12" s="18"/>
    </row>
    <row r="13" spans="1:15" x14ac:dyDescent="0.2">
      <c r="A13" s="198">
        <f>A12+1</f>
        <v>2</v>
      </c>
      <c r="B13" s="19" t="s">
        <v>67</v>
      </c>
      <c r="C13" s="16" t="s">
        <v>232</v>
      </c>
      <c r="D13" s="167">
        <f>'Exh. JAP-11 Page 1'!$D$18</f>
        <v>415408083.25412941</v>
      </c>
      <c r="E13" s="167">
        <f>'Exh. JAP-11 Page 1'!$E$18</f>
        <v>89967203.587776572</v>
      </c>
      <c r="F13" s="167">
        <f>'Exh. JAP-11 Page 1'!$F$18</f>
        <v>100488279.40367931</v>
      </c>
      <c r="G13" s="167">
        <f>'Exh. JAP-11 Page 1'!$G$18</f>
        <v>4029019.4600000009</v>
      </c>
    </row>
    <row r="14" spans="1:15" x14ac:dyDescent="0.2">
      <c r="A14" s="198">
        <f t="shared" ref="A14:A22" si="0">A13+1</f>
        <v>3</v>
      </c>
      <c r="B14" s="19" t="s">
        <v>53</v>
      </c>
      <c r="C14" s="18" t="s">
        <v>234</v>
      </c>
      <c r="D14" s="175">
        <v>10658082710.53709</v>
      </c>
      <c r="E14" s="175">
        <v>2700716840.8001165</v>
      </c>
      <c r="F14" s="175">
        <v>3132070834.4764342</v>
      </c>
      <c r="G14" s="175">
        <v>335987764</v>
      </c>
    </row>
    <row r="15" spans="1:15" x14ac:dyDescent="0.2">
      <c r="A15" s="198">
        <f t="shared" si="0"/>
        <v>4</v>
      </c>
      <c r="B15" s="19" t="s">
        <v>68</v>
      </c>
      <c r="C15" s="18" t="str">
        <f>"("&amp;A13&amp;") / ("&amp;A14&amp;")"</f>
        <v>(2) / (3)</v>
      </c>
      <c r="D15" s="72">
        <f>ROUND(D13/D14,6)</f>
        <v>3.8975999999999997E-2</v>
      </c>
      <c r="E15" s="72">
        <f>ROUND(E13/E14,6)</f>
        <v>3.3312000000000001E-2</v>
      </c>
      <c r="F15" s="72">
        <f>ROUND(F13/F14,6)</f>
        <v>3.2084000000000001E-2</v>
      </c>
      <c r="G15" s="72">
        <f>ROUND(G13/G14,6)</f>
        <v>1.1991999999999999E-2</v>
      </c>
    </row>
    <row r="16" spans="1:15" x14ac:dyDescent="0.2">
      <c r="A16" s="198">
        <f t="shared" si="0"/>
        <v>5</v>
      </c>
    </row>
    <row r="17" spans="1:7" x14ac:dyDescent="0.2">
      <c r="A17" s="198">
        <f t="shared" si="0"/>
        <v>6</v>
      </c>
    </row>
    <row r="18" spans="1:7" x14ac:dyDescent="0.2">
      <c r="A18" s="198">
        <f t="shared" si="0"/>
        <v>7</v>
      </c>
      <c r="B18" s="209" t="s">
        <v>250</v>
      </c>
      <c r="C18" s="198"/>
      <c r="D18" s="198"/>
      <c r="E18" s="198"/>
      <c r="F18" s="198"/>
      <c r="G18" s="198"/>
    </row>
    <row r="19" spans="1:7" x14ac:dyDescent="0.2">
      <c r="A19" s="198">
        <f t="shared" si="0"/>
        <v>8</v>
      </c>
      <c r="B19" s="199" t="s">
        <v>67</v>
      </c>
      <c r="C19" s="196" t="s">
        <v>232</v>
      </c>
      <c r="D19" s="237">
        <f>'Exh. JAP-11 Page 1'!$D$28</f>
        <v>426416203.66325021</v>
      </c>
      <c r="E19" s="237">
        <f>'Exh. JAP-11 Page 1'!$E$28</f>
        <v>92694404.036883086</v>
      </c>
      <c r="F19" s="237">
        <f>'Exh. JAP-11 Page 1'!$F$28</f>
        <v>103584720.35665876</v>
      </c>
      <c r="G19" s="237">
        <f>'Exh. JAP-11 Page 1'!$G$28</f>
        <v>4029019.4600000009</v>
      </c>
    </row>
    <row r="20" spans="1:7" x14ac:dyDescent="0.2">
      <c r="A20" s="198">
        <f t="shared" si="0"/>
        <v>9</v>
      </c>
      <c r="B20" s="199" t="s">
        <v>53</v>
      </c>
      <c r="C20" s="198" t="s">
        <v>234</v>
      </c>
      <c r="D20" s="238">
        <v>10658082710.53709</v>
      </c>
      <c r="E20" s="238">
        <v>2700716840.8001165</v>
      </c>
      <c r="F20" s="238">
        <v>3132070834.4764342</v>
      </c>
      <c r="G20" s="238">
        <v>335987764</v>
      </c>
    </row>
    <row r="21" spans="1:7" x14ac:dyDescent="0.2">
      <c r="A21" s="198">
        <f t="shared" si="0"/>
        <v>10</v>
      </c>
      <c r="B21" s="199" t="s">
        <v>68</v>
      </c>
      <c r="C21" s="198" t="str">
        <f>"("&amp;A19&amp;") / ("&amp;A20&amp;")"</f>
        <v>(8) / (9)</v>
      </c>
      <c r="D21" s="223">
        <f>ROUND(D19/D20,6)</f>
        <v>4.0009000000000003E-2</v>
      </c>
      <c r="E21" s="223">
        <f>ROUND(E19/E20,6)</f>
        <v>3.4321999999999998E-2</v>
      </c>
      <c r="F21" s="223">
        <f>ROUND(F19/F20,6)</f>
        <v>3.3071999999999997E-2</v>
      </c>
      <c r="G21" s="223">
        <f>ROUND(G19/G20,6)</f>
        <v>1.1991999999999999E-2</v>
      </c>
    </row>
    <row r="22" spans="1:7" x14ac:dyDescent="0.2">
      <c r="A22" s="198">
        <f t="shared" si="0"/>
        <v>11</v>
      </c>
    </row>
  </sheetData>
  <mergeCells count="5">
    <mergeCell ref="A1:F1"/>
    <mergeCell ref="A3:F3"/>
    <mergeCell ref="A4:F4"/>
    <mergeCell ref="A2:F2"/>
    <mergeCell ref="A5:F5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Normal="100" workbookViewId="0">
      <selection activeCell="G29" sqref="G29"/>
    </sheetView>
  </sheetViews>
  <sheetFormatPr defaultColWidth="9.140625" defaultRowHeight="11.25" x14ac:dyDescent="0.2"/>
  <cols>
    <col min="1" max="1" width="4.7109375" style="67" bestFit="1" customWidth="1"/>
    <col min="2" max="2" width="32.7109375" style="67" customWidth="1"/>
    <col min="3" max="3" width="19.85546875" style="67" customWidth="1"/>
    <col min="4" max="7" width="11.7109375" style="67" customWidth="1"/>
    <col min="8" max="9" width="9.140625" style="67" customWidth="1"/>
    <col min="10" max="10" width="9.140625" style="67"/>
    <col min="11" max="11" width="10.28515625" style="67" bestFit="1" customWidth="1"/>
    <col min="12" max="16384" width="9.140625" style="67"/>
  </cols>
  <sheetData>
    <row r="1" spans="1:18" x14ac:dyDescent="0.2">
      <c r="A1" s="332" t="str">
        <f>'Exh. JAP-11 Page 1'!A1:M1</f>
        <v>Puget Sound Energy</v>
      </c>
      <c r="B1" s="332"/>
      <c r="C1" s="332"/>
      <c r="D1" s="332"/>
      <c r="E1" s="332"/>
      <c r="F1" s="332"/>
      <c r="G1" s="33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 x14ac:dyDescent="0.2">
      <c r="A2" s="332" t="str">
        <f>'Exh. JAP-11 Page 1'!A2:M2</f>
        <v>2019 General Rate Case (GRC) - Revised A-1 filing</v>
      </c>
      <c r="B2" s="332"/>
      <c r="C2" s="332"/>
      <c r="D2" s="332"/>
      <c r="E2" s="332"/>
      <c r="F2" s="332"/>
      <c r="G2" s="33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 x14ac:dyDescent="0.2">
      <c r="A3" s="332" t="str">
        <f>'Exh. JAP-11 Page 1'!A3:M3</f>
        <v>Electric Decoupling Mechanism (Schedule 142)</v>
      </c>
      <c r="B3" s="332"/>
      <c r="C3" s="332"/>
      <c r="D3" s="332"/>
      <c r="E3" s="332"/>
      <c r="F3" s="332"/>
      <c r="G3" s="33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332" t="s">
        <v>65</v>
      </c>
      <c r="B4" s="332"/>
      <c r="C4" s="332"/>
      <c r="D4" s="332"/>
      <c r="E4" s="332"/>
      <c r="F4" s="332"/>
      <c r="G4" s="332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334" t="str">
        <f>'Exh. JAP-11 Page 1'!A5:M5</f>
        <v>Proposed Effective December 1, 2020</v>
      </c>
      <c r="B5" s="334"/>
      <c r="C5" s="334"/>
      <c r="D5" s="334"/>
      <c r="E5" s="334"/>
      <c r="F5" s="334"/>
      <c r="G5" s="334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/>
      <c r="C6" s="1"/>
      <c r="D6" s="31"/>
      <c r="E6" s="31"/>
      <c r="F6" s="31"/>
      <c r="G6" s="31"/>
      <c r="H6" s="31"/>
      <c r="I6" s="1"/>
      <c r="J6" s="1"/>
      <c r="K6" s="1"/>
      <c r="L6" s="1"/>
      <c r="M6" s="1"/>
      <c r="N6" s="1"/>
      <c r="O6" s="1"/>
      <c r="P6" s="1"/>
      <c r="Q6" s="1"/>
      <c r="R6" s="1"/>
    </row>
    <row r="8" spans="1:18" ht="12.75" customHeight="1" x14ac:dyDescent="0.2">
      <c r="D8" s="335" t="s">
        <v>50</v>
      </c>
      <c r="E8" s="336"/>
      <c r="F8" s="335" t="s">
        <v>52</v>
      </c>
      <c r="G8" s="336"/>
    </row>
    <row r="9" spans="1:18" ht="12.75" customHeight="1" x14ac:dyDescent="0.2">
      <c r="A9" s="8" t="s">
        <v>58</v>
      </c>
      <c r="D9" s="9" t="s">
        <v>54</v>
      </c>
      <c r="E9" s="10" t="s">
        <v>55</v>
      </c>
      <c r="F9" s="9" t="s">
        <v>54</v>
      </c>
      <c r="G9" s="10" t="s">
        <v>55</v>
      </c>
    </row>
    <row r="10" spans="1:18" ht="12.75" customHeight="1" x14ac:dyDescent="0.2">
      <c r="A10" s="5" t="s">
        <v>59</v>
      </c>
      <c r="B10" s="39"/>
      <c r="C10" s="5" t="s">
        <v>14</v>
      </c>
      <c r="D10" s="11" t="s">
        <v>56</v>
      </c>
      <c r="E10" s="12" t="s">
        <v>57</v>
      </c>
      <c r="F10" s="11" t="s">
        <v>56</v>
      </c>
      <c r="G10" s="12" t="s">
        <v>57</v>
      </c>
    </row>
    <row r="11" spans="1:18" x14ac:dyDescent="0.2">
      <c r="A11" s="19"/>
      <c r="B11" s="18" t="s">
        <v>13</v>
      </c>
      <c r="C11" s="18" t="s">
        <v>12</v>
      </c>
      <c r="D11" s="18" t="s">
        <v>11</v>
      </c>
      <c r="E11" s="18" t="s">
        <v>10</v>
      </c>
      <c r="F11" s="18" t="s">
        <v>9</v>
      </c>
      <c r="G11" s="18" t="s">
        <v>8</v>
      </c>
    </row>
    <row r="12" spans="1:18" s="222" customFormat="1" x14ac:dyDescent="0.2">
      <c r="A12" s="198">
        <v>1</v>
      </c>
      <c r="B12" s="198"/>
      <c r="C12" s="198"/>
      <c r="D12" s="198"/>
      <c r="E12" s="198"/>
      <c r="F12" s="198"/>
      <c r="G12" s="198"/>
    </row>
    <row r="13" spans="1:18" x14ac:dyDescent="0.2">
      <c r="A13" s="198">
        <v>2</v>
      </c>
      <c r="B13" s="209" t="s">
        <v>249</v>
      </c>
      <c r="C13" s="18"/>
      <c r="D13" s="18"/>
      <c r="E13" s="18"/>
      <c r="F13" s="18"/>
      <c r="G13" s="18"/>
    </row>
    <row r="14" spans="1:18" x14ac:dyDescent="0.2">
      <c r="A14" s="198">
        <v>3</v>
      </c>
      <c r="B14" s="19" t="s">
        <v>67</v>
      </c>
      <c r="C14" s="16" t="s">
        <v>232</v>
      </c>
      <c r="D14" s="167">
        <v>31255385.524177019</v>
      </c>
      <c r="E14" s="167">
        <v>22617050.709942143</v>
      </c>
      <c r="F14" s="167">
        <v>23409296.091749065</v>
      </c>
      <c r="G14" s="167">
        <v>16032640.780444721</v>
      </c>
      <c r="H14" s="68"/>
      <c r="I14" s="20"/>
    </row>
    <row r="15" spans="1:18" x14ac:dyDescent="0.2">
      <c r="A15" s="198">
        <v>5</v>
      </c>
      <c r="B15" s="19" t="s">
        <v>51</v>
      </c>
      <c r="C15" s="18" t="s">
        <v>234</v>
      </c>
      <c r="D15" s="175">
        <v>2289533</v>
      </c>
      <c r="E15" s="175">
        <v>2485131</v>
      </c>
      <c r="F15" s="175">
        <v>1708564</v>
      </c>
      <c r="G15" s="175">
        <v>1755251</v>
      </c>
    </row>
    <row r="16" spans="1:18" x14ac:dyDescent="0.2">
      <c r="A16" s="198">
        <v>7</v>
      </c>
      <c r="B16" s="19" t="s">
        <v>69</v>
      </c>
      <c r="C16" s="18" t="str">
        <f>"("&amp;A14&amp;") / ("&amp;A15&amp;")"</f>
        <v>(3) / (5)</v>
      </c>
      <c r="D16" s="69">
        <f>ROUND(D14/D15,2)</f>
        <v>13.65</v>
      </c>
      <c r="E16" s="69">
        <f>ROUND(E14/E15,2)</f>
        <v>9.1</v>
      </c>
      <c r="F16" s="69">
        <f>ROUND(F14/F15,2)</f>
        <v>13.7</v>
      </c>
      <c r="G16" s="69">
        <f>ROUND(G14/G15,2)</f>
        <v>9.1300000000000008</v>
      </c>
    </row>
    <row r="17" spans="1:8" x14ac:dyDescent="0.2">
      <c r="A17" s="198">
        <v>8</v>
      </c>
      <c r="D17" s="70"/>
      <c r="E17" s="70"/>
      <c r="F17" s="70"/>
      <c r="G17" s="70"/>
      <c r="H17" s="70"/>
    </row>
    <row r="18" spans="1:8" x14ac:dyDescent="0.2">
      <c r="A18" s="198">
        <v>9</v>
      </c>
      <c r="D18" s="70"/>
      <c r="E18" s="70"/>
      <c r="F18" s="70"/>
      <c r="G18" s="70"/>
      <c r="H18" s="70"/>
    </row>
    <row r="19" spans="1:8" x14ac:dyDescent="0.2">
      <c r="A19" s="198">
        <v>10</v>
      </c>
      <c r="B19" s="209" t="s">
        <v>250</v>
      </c>
      <c r="C19" s="198"/>
      <c r="D19" s="198"/>
      <c r="E19" s="198"/>
      <c r="F19" s="198"/>
      <c r="G19" s="198"/>
    </row>
    <row r="20" spans="1:8" x14ac:dyDescent="0.2">
      <c r="A20" s="198">
        <v>11</v>
      </c>
      <c r="B20" s="199" t="s">
        <v>67</v>
      </c>
      <c r="C20" s="196" t="s">
        <v>232</v>
      </c>
      <c r="D20" s="237">
        <v>32329314.591718487</v>
      </c>
      <c r="E20" s="237">
        <v>23394168.245756187</v>
      </c>
      <c r="F20" s="237">
        <v>24176091.570732389</v>
      </c>
      <c r="G20" s="237">
        <v>16557806.356480207</v>
      </c>
    </row>
    <row r="21" spans="1:8" x14ac:dyDescent="0.2">
      <c r="A21" s="198">
        <v>12</v>
      </c>
      <c r="B21" s="199" t="s">
        <v>51</v>
      </c>
      <c r="C21" s="198" t="s">
        <v>234</v>
      </c>
      <c r="D21" s="238">
        <v>2289533</v>
      </c>
      <c r="E21" s="238">
        <v>2485131</v>
      </c>
      <c r="F21" s="238">
        <v>1708564</v>
      </c>
      <c r="G21" s="238">
        <v>1755251</v>
      </c>
    </row>
    <row r="22" spans="1:8" x14ac:dyDescent="0.2">
      <c r="A22" s="198">
        <v>13</v>
      </c>
      <c r="B22" s="199" t="s">
        <v>69</v>
      </c>
      <c r="C22" s="198" t="str">
        <f>"("&amp;A20&amp;") / ("&amp;A21&amp;")"</f>
        <v>(11) / (12)</v>
      </c>
      <c r="D22" s="69">
        <f>ROUND(D20/D21,2)</f>
        <v>14.12</v>
      </c>
      <c r="E22" s="69">
        <f>ROUND(E20/E21,2)</f>
        <v>9.41</v>
      </c>
      <c r="F22" s="69">
        <f>ROUND(F20/F21,2)</f>
        <v>14.15</v>
      </c>
      <c r="G22" s="69">
        <f>ROUND(G20/G21,2)</f>
        <v>9.43</v>
      </c>
    </row>
    <row r="23" spans="1:8" x14ac:dyDescent="0.2">
      <c r="A23" s="198">
        <v>14</v>
      </c>
    </row>
    <row r="24" spans="1:8" x14ac:dyDescent="0.2">
      <c r="A24" s="198">
        <v>15</v>
      </c>
    </row>
  </sheetData>
  <mergeCells count="7">
    <mergeCell ref="A1:G1"/>
    <mergeCell ref="A3:G3"/>
    <mergeCell ref="A4:G4"/>
    <mergeCell ref="D8:E8"/>
    <mergeCell ref="F8:G8"/>
    <mergeCell ref="A2:G2"/>
    <mergeCell ref="A5:G5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workbookViewId="0">
      <pane ySplit="8" topLeftCell="A24" activePane="bottomLeft" state="frozen"/>
      <selection activeCell="F35" sqref="F35"/>
      <selection pane="bottomLeft" activeCell="Q36" sqref="Q36"/>
    </sheetView>
  </sheetViews>
  <sheetFormatPr defaultColWidth="9.140625" defaultRowHeight="11.25" x14ac:dyDescent="0.2"/>
  <cols>
    <col min="1" max="1" width="4.42578125" style="19" bestFit="1" customWidth="1"/>
    <col min="2" max="2" width="23" style="19" customWidth="1"/>
    <col min="3" max="3" width="32.5703125" style="19" bestFit="1" customWidth="1"/>
    <col min="4" max="4" width="14.5703125" style="18" customWidth="1"/>
    <col min="5" max="7" width="12" style="18" bestFit="1" customWidth="1"/>
    <col min="8" max="8" width="10.7109375" style="18" bestFit="1" customWidth="1"/>
    <col min="9" max="14" width="10.7109375" style="19" bestFit="1" customWidth="1"/>
    <col min="15" max="16" width="12" style="19" bestFit="1" customWidth="1"/>
    <col min="17" max="17" width="11.7109375" style="19" bestFit="1" customWidth="1"/>
    <col min="18" max="16384" width="9.140625" style="19"/>
  </cols>
  <sheetData>
    <row r="1" spans="1:17" x14ac:dyDescent="0.2">
      <c r="A1" s="332" t="str">
        <f>'Exh. JAP-11 Page 1'!A1:M1</f>
        <v>Puget Sound Energy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</row>
    <row r="2" spans="1:17" x14ac:dyDescent="0.2">
      <c r="A2" s="332" t="str">
        <f>'Exh. JAP-11 Page 1'!A2:M2</f>
        <v>2019 General Rate Case (GRC) - Revised A-1 filing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 x14ac:dyDescent="0.2">
      <c r="A3" s="332" t="str">
        <f>'Exh. JAP-11 Page 1'!A3:M3</f>
        <v>Electric Decoupling Mechanism (Schedule 142)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x14ac:dyDescent="0.2">
      <c r="A4" s="332" t="s">
        <v>35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x14ac:dyDescent="0.2">
      <c r="A5" s="334" t="str">
        <f>'Exh. JAP-11 Page 1'!A5:M5</f>
        <v>Proposed Effective December 1, 2020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</row>
    <row r="6" spans="1:17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</row>
    <row r="7" spans="1:17" ht="33.75" x14ac:dyDescent="0.2">
      <c r="A7" s="13" t="s">
        <v>15</v>
      </c>
      <c r="B7" s="13"/>
      <c r="C7" s="39"/>
      <c r="D7" s="13" t="s">
        <v>14</v>
      </c>
      <c r="E7" s="14" t="s">
        <v>20</v>
      </c>
      <c r="F7" s="14" t="s">
        <v>21</v>
      </c>
      <c r="G7" s="14" t="s">
        <v>22</v>
      </c>
      <c r="H7" s="14" t="s">
        <v>23</v>
      </c>
      <c r="I7" s="14" t="s">
        <v>24</v>
      </c>
      <c r="J7" s="14" t="s">
        <v>25</v>
      </c>
      <c r="K7" s="14" t="s">
        <v>26</v>
      </c>
      <c r="L7" s="14" t="s">
        <v>27</v>
      </c>
      <c r="M7" s="14" t="s">
        <v>28</v>
      </c>
      <c r="N7" s="14" t="s">
        <v>29</v>
      </c>
      <c r="O7" s="14" t="s">
        <v>30</v>
      </c>
      <c r="P7" s="14" t="s">
        <v>31</v>
      </c>
      <c r="Q7" s="13" t="s">
        <v>32</v>
      </c>
    </row>
    <row r="8" spans="1:17" x14ac:dyDescent="0.2">
      <c r="C8" s="18" t="s">
        <v>13</v>
      </c>
      <c r="D8" s="18" t="s">
        <v>12</v>
      </c>
      <c r="E8" s="18" t="s">
        <v>11</v>
      </c>
      <c r="F8" s="18" t="s">
        <v>10</v>
      </c>
      <c r="G8" s="18" t="s">
        <v>9</v>
      </c>
      <c r="H8" s="18" t="s">
        <v>8</v>
      </c>
      <c r="I8" s="18" t="s">
        <v>7</v>
      </c>
      <c r="J8" s="18" t="s">
        <v>6</v>
      </c>
      <c r="K8" s="18" t="s">
        <v>5</v>
      </c>
      <c r="L8" s="18" t="s">
        <v>4</v>
      </c>
      <c r="M8" s="18" t="s">
        <v>3</v>
      </c>
      <c r="N8" s="18" t="s">
        <v>2</v>
      </c>
      <c r="O8" s="18" t="s">
        <v>1</v>
      </c>
      <c r="P8" s="18" t="s">
        <v>0</v>
      </c>
      <c r="Q8" s="18" t="s">
        <v>19</v>
      </c>
    </row>
    <row r="9" spans="1:17" x14ac:dyDescent="0.2">
      <c r="A9" s="18"/>
      <c r="B9" s="37" t="s">
        <v>37</v>
      </c>
      <c r="C9" s="41"/>
      <c r="I9" s="18"/>
      <c r="J9" s="18"/>
    </row>
    <row r="10" spans="1:17" x14ac:dyDescent="0.2">
      <c r="A10" s="18">
        <v>1</v>
      </c>
      <c r="B10" s="63" t="s">
        <v>38</v>
      </c>
      <c r="E10" s="19"/>
      <c r="F10" s="19"/>
      <c r="G10" s="19"/>
      <c r="H10" s="19"/>
      <c r="Q10" s="15"/>
    </row>
    <row r="11" spans="1:17" x14ac:dyDescent="0.2">
      <c r="A11" s="18">
        <f t="shared" ref="A11:A57" si="0">A10+1</f>
        <v>2</v>
      </c>
      <c r="B11" s="18"/>
      <c r="C11" s="19" t="s">
        <v>90</v>
      </c>
      <c r="D11" s="18" t="s">
        <v>234</v>
      </c>
      <c r="E11" s="183">
        <v>1217809396.3717051</v>
      </c>
      <c r="F11" s="183">
        <v>1029221052.455801</v>
      </c>
      <c r="G11" s="183">
        <v>1042285607.8058866</v>
      </c>
      <c r="H11" s="183">
        <v>848382820.3486625</v>
      </c>
      <c r="I11" s="183">
        <v>682087265.04118538</v>
      </c>
      <c r="J11" s="183">
        <v>662181951.97669625</v>
      </c>
      <c r="K11" s="183">
        <v>694649291.53142309</v>
      </c>
      <c r="L11" s="183">
        <v>673174372.85823476</v>
      </c>
      <c r="M11" s="183">
        <v>642880803.18132174</v>
      </c>
      <c r="N11" s="183">
        <v>823326861.21608186</v>
      </c>
      <c r="O11" s="183">
        <v>1037566972.4656866</v>
      </c>
      <c r="P11" s="183">
        <v>1269463840.4366477</v>
      </c>
      <c r="Q11" s="15">
        <f>SUM(E11:P11)</f>
        <v>10623030235.689333</v>
      </c>
    </row>
    <row r="12" spans="1:17" x14ac:dyDescent="0.2">
      <c r="A12" s="18">
        <f t="shared" si="0"/>
        <v>3</v>
      </c>
      <c r="B12" s="18"/>
      <c r="C12" s="19" t="s">
        <v>36</v>
      </c>
      <c r="D12" s="16" t="s">
        <v>73</v>
      </c>
      <c r="E12" s="17">
        <f t="shared" ref="E12:P12" si="1">E11/$Q11</f>
        <v>0.11463860775622474</v>
      </c>
      <c r="F12" s="17">
        <f t="shared" si="1"/>
        <v>9.6885825383232982E-2</v>
      </c>
      <c r="G12" s="17">
        <f t="shared" si="1"/>
        <v>9.8115658590917323E-2</v>
      </c>
      <c r="H12" s="17">
        <f t="shared" si="1"/>
        <v>7.9862600550492602E-2</v>
      </c>
      <c r="I12" s="17">
        <f t="shared" si="1"/>
        <v>6.4208352034020588E-2</v>
      </c>
      <c r="J12" s="17">
        <f t="shared" si="1"/>
        <v>6.2334563423534016E-2</v>
      </c>
      <c r="K12" s="17">
        <f t="shared" si="1"/>
        <v>6.5390879637870769E-2</v>
      </c>
      <c r="L12" s="17">
        <f t="shared" si="1"/>
        <v>6.3369336048449285E-2</v>
      </c>
      <c r="M12" s="17">
        <f t="shared" si="1"/>
        <v>6.0517647876166938E-2</v>
      </c>
      <c r="N12" s="17">
        <f t="shared" si="1"/>
        <v>7.750395536388642E-2</v>
      </c>
      <c r="O12" s="17">
        <f t="shared" si="1"/>
        <v>9.7671469387318216E-2</v>
      </c>
      <c r="P12" s="17">
        <f t="shared" si="1"/>
        <v>0.11950110394788607</v>
      </c>
      <c r="Q12" s="17">
        <f>SUM(E12:P12)</f>
        <v>0.99999999999999989</v>
      </c>
    </row>
    <row r="13" spans="1:17" x14ac:dyDescent="0.2">
      <c r="A13" s="18">
        <f t="shared" si="0"/>
        <v>4</v>
      </c>
      <c r="B13" s="18"/>
      <c r="E13" s="19"/>
      <c r="F13" s="19"/>
      <c r="G13" s="19"/>
      <c r="H13" s="19"/>
    </row>
    <row r="14" spans="1:17" x14ac:dyDescent="0.2">
      <c r="A14" s="18">
        <f t="shared" si="0"/>
        <v>5</v>
      </c>
      <c r="B14" s="63" t="s">
        <v>42</v>
      </c>
      <c r="D14" s="19"/>
      <c r="E14" s="19"/>
      <c r="F14" s="19"/>
      <c r="G14" s="19"/>
      <c r="H14" s="19"/>
    </row>
    <row r="15" spans="1:17" x14ac:dyDescent="0.2">
      <c r="A15" s="18">
        <f t="shared" si="0"/>
        <v>6</v>
      </c>
      <c r="B15" s="18"/>
      <c r="C15" s="19" t="str">
        <f>C11</f>
        <v xml:space="preserve">Weather-Normalized kWh Sales </v>
      </c>
      <c r="D15" s="18" t="str">
        <f>D11</f>
        <v>Exhibit JAP-6</v>
      </c>
      <c r="E15" s="183">
        <v>268383989.57199278</v>
      </c>
      <c r="F15" s="183">
        <v>227279211.53795847</v>
      </c>
      <c r="G15" s="183">
        <v>244720280.50093108</v>
      </c>
      <c r="H15" s="183">
        <v>211476318.75275233</v>
      </c>
      <c r="I15" s="183">
        <v>208012350.22681922</v>
      </c>
      <c r="J15" s="183">
        <v>200157659.37976211</v>
      </c>
      <c r="K15" s="183">
        <v>218343544.81734061</v>
      </c>
      <c r="L15" s="183">
        <v>219728935.14893684</v>
      </c>
      <c r="M15" s="183">
        <v>196113261.95298892</v>
      </c>
      <c r="N15" s="183">
        <v>215665873.9648062</v>
      </c>
      <c r="O15" s="183">
        <v>236065221.06438547</v>
      </c>
      <c r="P15" s="183">
        <v>254182549.85161248</v>
      </c>
      <c r="Q15" s="15">
        <f>SUM(E15:P15)</f>
        <v>2700129196.7702866</v>
      </c>
    </row>
    <row r="16" spans="1:17" x14ac:dyDescent="0.2">
      <c r="A16" s="18">
        <f t="shared" si="0"/>
        <v>7</v>
      </c>
      <c r="B16" s="18"/>
      <c r="C16" s="19" t="s">
        <v>36</v>
      </c>
      <c r="D16" s="16" t="s">
        <v>74</v>
      </c>
      <c r="E16" s="17">
        <f t="shared" ref="E16:P16" si="2">E15/$Q15</f>
        <v>9.9396721420965978E-2</v>
      </c>
      <c r="F16" s="17">
        <f t="shared" si="2"/>
        <v>8.4173457999644846E-2</v>
      </c>
      <c r="G16" s="17">
        <f t="shared" si="2"/>
        <v>9.063280408717074E-2</v>
      </c>
      <c r="H16" s="17">
        <f t="shared" si="2"/>
        <v>7.8320814798679306E-2</v>
      </c>
      <c r="I16" s="17">
        <f t="shared" si="2"/>
        <v>7.7037924879901909E-2</v>
      </c>
      <c r="J16" s="17">
        <f t="shared" si="2"/>
        <v>7.4128919319555994E-2</v>
      </c>
      <c r="K16" s="17">
        <f t="shared" si="2"/>
        <v>8.0864110161287292E-2</v>
      </c>
      <c r="L16" s="17">
        <f t="shared" si="2"/>
        <v>8.1377193140151169E-2</v>
      </c>
      <c r="M16" s="17">
        <f t="shared" si="2"/>
        <v>7.2631066019939516E-2</v>
      </c>
      <c r="N16" s="17">
        <f t="shared" si="2"/>
        <v>7.987242766856166E-2</v>
      </c>
      <c r="O16" s="17">
        <f t="shared" si="2"/>
        <v>8.7427379899728819E-2</v>
      </c>
      <c r="P16" s="17">
        <f t="shared" si="2"/>
        <v>9.4137180604412785E-2</v>
      </c>
      <c r="Q16" s="17">
        <f>SUM(E16:P16)</f>
        <v>0.99999999999999989</v>
      </c>
    </row>
    <row r="17" spans="1:17" x14ac:dyDescent="0.2">
      <c r="A17" s="18">
        <f t="shared" si="0"/>
        <v>8</v>
      </c>
      <c r="B17" s="18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x14ac:dyDescent="0.2">
      <c r="A18" s="18">
        <f t="shared" si="0"/>
        <v>9</v>
      </c>
      <c r="B18" s="63" t="s">
        <v>64</v>
      </c>
      <c r="E18" s="19"/>
      <c r="F18" s="19"/>
      <c r="G18" s="19"/>
      <c r="H18" s="19"/>
      <c r="Q18" s="15"/>
    </row>
    <row r="19" spans="1:17" x14ac:dyDescent="0.2">
      <c r="A19" s="18">
        <f t="shared" si="0"/>
        <v>10</v>
      </c>
      <c r="B19" s="18"/>
      <c r="C19" s="19" t="str">
        <f>C11</f>
        <v xml:space="preserve">Weather-Normalized kWh Sales </v>
      </c>
      <c r="D19" s="18" t="str">
        <f>D11</f>
        <v>Exhibit JAP-6</v>
      </c>
      <c r="E19" s="183">
        <v>284490231.19315612</v>
      </c>
      <c r="F19" s="183">
        <v>262584491.92486563</v>
      </c>
      <c r="G19" s="183">
        <v>278342863.5656966</v>
      </c>
      <c r="H19" s="183">
        <v>250818189.4840396</v>
      </c>
      <c r="I19" s="183">
        <v>257611898.41416478</v>
      </c>
      <c r="J19" s="183">
        <v>240257964.078789</v>
      </c>
      <c r="K19" s="183">
        <v>269716764.2743544</v>
      </c>
      <c r="L19" s="183">
        <v>257395354.84975731</v>
      </c>
      <c r="M19" s="183">
        <v>233069302.88971385</v>
      </c>
      <c r="N19" s="183">
        <v>254098187.08349001</v>
      </c>
      <c r="O19" s="183">
        <v>260578468.40768361</v>
      </c>
      <c r="P19" s="183">
        <v>284154344.51520026</v>
      </c>
      <c r="Q19" s="15">
        <f>SUM(E19:P19)</f>
        <v>3133118060.6809106</v>
      </c>
    </row>
    <row r="20" spans="1:17" x14ac:dyDescent="0.2">
      <c r="A20" s="18">
        <f t="shared" si="0"/>
        <v>11</v>
      </c>
      <c r="B20" s="18"/>
      <c r="C20" s="19" t="s">
        <v>36</v>
      </c>
      <c r="D20" s="16" t="s">
        <v>75</v>
      </c>
      <c r="E20" s="17">
        <f t="shared" ref="E20:P20" si="3">E19/$Q19</f>
        <v>9.0800993030989957E-2</v>
      </c>
      <c r="F20" s="17">
        <f t="shared" si="3"/>
        <v>8.3809319291274637E-2</v>
      </c>
      <c r="G20" s="17">
        <f t="shared" si="3"/>
        <v>8.8838932390950254E-2</v>
      </c>
      <c r="H20" s="17">
        <f t="shared" si="3"/>
        <v>8.0053858369298125E-2</v>
      </c>
      <c r="I20" s="17">
        <f t="shared" si="3"/>
        <v>8.2222212321669999E-2</v>
      </c>
      <c r="J20" s="17">
        <f t="shared" si="3"/>
        <v>7.6683342097416687E-2</v>
      </c>
      <c r="K20" s="17">
        <f t="shared" si="3"/>
        <v>8.6085732822892003E-2</v>
      </c>
      <c r="L20" s="17">
        <f t="shared" si="3"/>
        <v>8.215309792501671E-2</v>
      </c>
      <c r="M20" s="17">
        <f t="shared" si="3"/>
        <v>7.438893089112053E-2</v>
      </c>
      <c r="N20" s="17">
        <f t="shared" si="3"/>
        <v>8.1100738038664161E-2</v>
      </c>
      <c r="O20" s="17">
        <f t="shared" si="3"/>
        <v>8.3169055031093508E-2</v>
      </c>
      <c r="P20" s="17">
        <f t="shared" si="3"/>
        <v>9.0693787789613609E-2</v>
      </c>
      <c r="Q20" s="17">
        <f>SUM(E20:P20)</f>
        <v>1.0000000000000002</v>
      </c>
    </row>
    <row r="21" spans="1:17" x14ac:dyDescent="0.2">
      <c r="A21" s="18">
        <f t="shared" si="0"/>
        <v>12</v>
      </c>
      <c r="B21" s="18"/>
      <c r="E21" s="19"/>
      <c r="F21" s="19"/>
      <c r="G21" s="19"/>
      <c r="H21" s="19"/>
    </row>
    <row r="22" spans="1:17" x14ac:dyDescent="0.2">
      <c r="A22" s="18">
        <f t="shared" si="0"/>
        <v>13</v>
      </c>
      <c r="B22" s="63" t="s">
        <v>111</v>
      </c>
      <c r="D22" s="19"/>
      <c r="E22" s="19"/>
      <c r="F22" s="19"/>
      <c r="G22" s="19"/>
      <c r="H22" s="19"/>
    </row>
    <row r="23" spans="1:17" x14ac:dyDescent="0.2">
      <c r="A23" s="18">
        <f t="shared" si="0"/>
        <v>14</v>
      </c>
      <c r="B23" s="18"/>
      <c r="C23" s="19" t="str">
        <f>C15</f>
        <v xml:space="preserve">Weather-Normalized kWh Sales </v>
      </c>
      <c r="D23" s="18" t="str">
        <f>D15</f>
        <v>Exhibit JAP-6</v>
      </c>
      <c r="E23" s="183">
        <v>30385805</v>
      </c>
      <c r="F23" s="183">
        <v>25565736</v>
      </c>
      <c r="G23" s="183">
        <v>29925945</v>
      </c>
      <c r="H23" s="183">
        <v>31229504</v>
      </c>
      <c r="I23" s="183">
        <v>28088112</v>
      </c>
      <c r="J23" s="183">
        <v>28519680</v>
      </c>
      <c r="K23" s="183">
        <v>28458020</v>
      </c>
      <c r="L23" s="183">
        <v>28000764</v>
      </c>
      <c r="M23" s="183">
        <v>28519947</v>
      </c>
      <c r="N23" s="183">
        <v>20447077</v>
      </c>
      <c r="O23" s="183">
        <v>28154601</v>
      </c>
      <c r="P23" s="183">
        <v>28925345</v>
      </c>
      <c r="Q23" s="15">
        <f>SUM(E23:P23)</f>
        <v>336220536</v>
      </c>
    </row>
    <row r="24" spans="1:17" x14ac:dyDescent="0.2">
      <c r="A24" s="18">
        <f t="shared" si="0"/>
        <v>15</v>
      </c>
      <c r="B24" s="18"/>
      <c r="C24" s="19" t="s">
        <v>36</v>
      </c>
      <c r="D24" s="16" t="s">
        <v>76</v>
      </c>
      <c r="E24" s="17">
        <f t="shared" ref="E24:P24" si="4">E23/$Q23</f>
        <v>9.037462542145254E-2</v>
      </c>
      <c r="F24" s="17">
        <f t="shared" si="4"/>
        <v>7.6038591527318247E-2</v>
      </c>
      <c r="G24" s="17">
        <f t="shared" si="4"/>
        <v>8.9006892190547221E-2</v>
      </c>
      <c r="H24" s="17">
        <f t="shared" si="4"/>
        <v>9.2883987312422825E-2</v>
      </c>
      <c r="I24" s="17">
        <f t="shared" si="4"/>
        <v>8.3540738867895925E-2</v>
      </c>
      <c r="J24" s="17">
        <f t="shared" si="4"/>
        <v>8.4824324948432062E-2</v>
      </c>
      <c r="K24" s="17">
        <f t="shared" si="4"/>
        <v>8.4640933414013714E-2</v>
      </c>
      <c r="L24" s="17">
        <f t="shared" si="4"/>
        <v>8.3280945099677081E-2</v>
      </c>
      <c r="M24" s="17">
        <f t="shared" si="4"/>
        <v>8.4825119070061794E-2</v>
      </c>
      <c r="N24" s="17">
        <f t="shared" si="4"/>
        <v>6.0814479815117541E-2</v>
      </c>
      <c r="O24" s="17">
        <f t="shared" si="4"/>
        <v>8.373849299913079E-2</v>
      </c>
      <c r="P24" s="17">
        <f t="shared" si="4"/>
        <v>8.6030869333930268E-2</v>
      </c>
      <c r="Q24" s="17">
        <f>SUM(E24:P24)</f>
        <v>1.0000000000000002</v>
      </c>
    </row>
    <row r="25" spans="1:17" x14ac:dyDescent="0.2">
      <c r="A25" s="18">
        <f t="shared" si="0"/>
        <v>16</v>
      </c>
      <c r="B25" s="18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x14ac:dyDescent="0.2">
      <c r="A26" s="18">
        <f t="shared" si="0"/>
        <v>17</v>
      </c>
      <c r="B26" s="63" t="s">
        <v>43</v>
      </c>
      <c r="E26" s="19"/>
      <c r="F26" s="19"/>
      <c r="G26" s="19"/>
      <c r="H26" s="19"/>
      <c r="Q26" s="15"/>
    </row>
    <row r="27" spans="1:17" x14ac:dyDescent="0.2">
      <c r="A27" s="18">
        <f t="shared" si="0"/>
        <v>18</v>
      </c>
      <c r="B27" s="18"/>
      <c r="C27" s="42" t="s">
        <v>91</v>
      </c>
      <c r="D27" s="18" t="str">
        <f>D11</f>
        <v>Exhibit JAP-6</v>
      </c>
      <c r="E27" s="183">
        <v>4464881</v>
      </c>
      <c r="F27" s="183">
        <v>4646175</v>
      </c>
      <c r="G27" s="183">
        <v>4343805</v>
      </c>
      <c r="H27" s="183">
        <v>3656094</v>
      </c>
      <c r="I27" s="183">
        <v>3142185</v>
      </c>
      <c r="J27" s="183">
        <v>3134597</v>
      </c>
      <c r="K27" s="183">
        <v>3262370</v>
      </c>
      <c r="L27" s="183">
        <v>3515569</v>
      </c>
      <c r="M27" s="183">
        <v>3236467</v>
      </c>
      <c r="N27" s="183">
        <v>3816116</v>
      </c>
      <c r="O27" s="183">
        <v>4362092</v>
      </c>
      <c r="P27" s="183">
        <v>4682306</v>
      </c>
      <c r="Q27" s="20">
        <f>SUM(E27:P27)</f>
        <v>46262657</v>
      </c>
    </row>
    <row r="28" spans="1:17" x14ac:dyDescent="0.2">
      <c r="A28" s="18">
        <f t="shared" si="0"/>
        <v>19</v>
      </c>
      <c r="B28" s="18"/>
      <c r="C28" s="19" t="s">
        <v>36</v>
      </c>
      <c r="D28" s="16" t="s">
        <v>77</v>
      </c>
      <c r="E28" s="17">
        <f t="shared" ref="E28:P28" si="5">E27/$Q27</f>
        <v>9.6511555745706523E-2</v>
      </c>
      <c r="F28" s="17">
        <f t="shared" si="5"/>
        <v>0.1004303535786974</v>
      </c>
      <c r="G28" s="17">
        <f t="shared" si="5"/>
        <v>9.3894412506397976E-2</v>
      </c>
      <c r="H28" s="17">
        <f t="shared" si="5"/>
        <v>7.9029053605805644E-2</v>
      </c>
      <c r="I28" s="17">
        <f t="shared" si="5"/>
        <v>6.7920547667636125E-2</v>
      </c>
      <c r="J28" s="17">
        <f t="shared" si="5"/>
        <v>6.7756527689276466E-2</v>
      </c>
      <c r="K28" s="17">
        <f t="shared" si="5"/>
        <v>7.0518431312754037E-2</v>
      </c>
      <c r="L28" s="17">
        <f t="shared" si="5"/>
        <v>7.5991506497346234E-2</v>
      </c>
      <c r="M28" s="17">
        <f t="shared" si="5"/>
        <v>6.9958519676031575E-2</v>
      </c>
      <c r="N28" s="17">
        <f t="shared" si="5"/>
        <v>8.2488042137311743E-2</v>
      </c>
      <c r="O28" s="17">
        <f t="shared" si="5"/>
        <v>9.4289698924988244E-2</v>
      </c>
      <c r="P28" s="17">
        <f t="shared" si="5"/>
        <v>0.10121135065804802</v>
      </c>
      <c r="Q28" s="17">
        <f>SUM(E28:P28)</f>
        <v>1</v>
      </c>
    </row>
    <row r="29" spans="1:17" x14ac:dyDescent="0.2">
      <c r="A29" s="18">
        <f t="shared" si="0"/>
        <v>20</v>
      </c>
      <c r="B29" s="18"/>
      <c r="E29" s="19"/>
      <c r="F29" s="19"/>
      <c r="G29" s="19"/>
      <c r="H29" s="19"/>
    </row>
    <row r="30" spans="1:17" x14ac:dyDescent="0.2">
      <c r="A30" s="18">
        <f t="shared" si="0"/>
        <v>21</v>
      </c>
      <c r="B30" s="63" t="s">
        <v>44</v>
      </c>
      <c r="D30" s="19"/>
      <c r="E30" s="19"/>
      <c r="F30" s="19"/>
      <c r="G30" s="19"/>
      <c r="H30" s="19"/>
    </row>
    <row r="31" spans="1:17" x14ac:dyDescent="0.2">
      <c r="A31" s="18">
        <f t="shared" si="0"/>
        <v>22</v>
      </c>
      <c r="B31" s="18"/>
      <c r="C31" s="42" t="str">
        <f>C27</f>
        <v xml:space="preserve">Demand Charge Revenue </v>
      </c>
      <c r="D31" s="18" t="str">
        <f>D11</f>
        <v>Exhibit JAP-6</v>
      </c>
      <c r="E31" s="183">
        <v>3166387</v>
      </c>
      <c r="F31" s="183">
        <v>3172185</v>
      </c>
      <c r="G31" s="183">
        <v>2884024</v>
      </c>
      <c r="H31" s="183">
        <v>2690713</v>
      </c>
      <c r="I31" s="183">
        <v>2154594</v>
      </c>
      <c r="J31" s="183">
        <v>1972205</v>
      </c>
      <c r="K31" s="183">
        <v>2115505</v>
      </c>
      <c r="L31" s="183">
        <v>2198196</v>
      </c>
      <c r="M31" s="183">
        <v>2114126</v>
      </c>
      <c r="N31" s="183">
        <v>2419863</v>
      </c>
      <c r="O31" s="183">
        <v>2886239</v>
      </c>
      <c r="P31" s="183">
        <v>3119737</v>
      </c>
      <c r="Q31" s="20">
        <f>SUM(E31:P31)</f>
        <v>30893774</v>
      </c>
    </row>
    <row r="32" spans="1:17" x14ac:dyDescent="0.2">
      <c r="A32" s="18">
        <f t="shared" si="0"/>
        <v>23</v>
      </c>
      <c r="B32" s="18"/>
      <c r="C32" s="19" t="s">
        <v>36</v>
      </c>
      <c r="D32" s="16" t="s">
        <v>78</v>
      </c>
      <c r="E32" s="17">
        <f t="shared" ref="E32:P32" si="6">E31/$Q31</f>
        <v>0.10249272232003769</v>
      </c>
      <c r="F32" s="17">
        <f t="shared" si="6"/>
        <v>0.10268039767494901</v>
      </c>
      <c r="G32" s="17">
        <f t="shared" si="6"/>
        <v>9.3352919588263972E-2</v>
      </c>
      <c r="H32" s="17">
        <f t="shared" si="6"/>
        <v>8.7095639399705591E-2</v>
      </c>
      <c r="I32" s="17">
        <f t="shared" si="6"/>
        <v>6.9742013390788712E-2</v>
      </c>
      <c r="J32" s="17">
        <f t="shared" si="6"/>
        <v>6.3838267218501693E-2</v>
      </c>
      <c r="K32" s="17">
        <f t="shared" si="6"/>
        <v>6.8476742271759997E-2</v>
      </c>
      <c r="L32" s="17">
        <f t="shared" si="6"/>
        <v>7.1153365723462592E-2</v>
      </c>
      <c r="M32" s="17">
        <f t="shared" si="6"/>
        <v>6.8432105446230046E-2</v>
      </c>
      <c r="N32" s="17">
        <f t="shared" si="6"/>
        <v>7.8328500752287505E-2</v>
      </c>
      <c r="O32" s="17">
        <f t="shared" si="6"/>
        <v>9.3424616882353054E-2</v>
      </c>
      <c r="P32" s="17">
        <f t="shared" si="6"/>
        <v>0.10098270933166016</v>
      </c>
      <c r="Q32" s="17">
        <f>SUM(E32:P32)</f>
        <v>1</v>
      </c>
    </row>
    <row r="33" spans="1:17" x14ac:dyDescent="0.2">
      <c r="A33" s="18">
        <f t="shared" si="0"/>
        <v>24</v>
      </c>
      <c r="B33" s="18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">
      <c r="A34" s="18">
        <f t="shared" si="0"/>
        <v>25</v>
      </c>
      <c r="B34" s="37" t="s">
        <v>71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x14ac:dyDescent="0.2">
      <c r="A35" s="18">
        <f t="shared" si="0"/>
        <v>26</v>
      </c>
      <c r="B35" s="63" t="str">
        <f>B10</f>
        <v>Schedule 7</v>
      </c>
      <c r="E35" s="19"/>
      <c r="F35" s="19"/>
      <c r="G35" s="19"/>
      <c r="H35" s="19"/>
    </row>
    <row r="36" spans="1:17" x14ac:dyDescent="0.2">
      <c r="A36" s="18">
        <f t="shared" si="0"/>
        <v>27</v>
      </c>
      <c r="B36" s="18"/>
      <c r="C36" s="19" t="s">
        <v>70</v>
      </c>
      <c r="D36" s="18" t="s">
        <v>233</v>
      </c>
      <c r="E36" s="19"/>
      <c r="F36" s="19"/>
      <c r="G36" s="19"/>
      <c r="H36" s="19"/>
      <c r="Q36" s="184">
        <f>'Exh. JAP-11 Page 2'!D15</f>
        <v>411.06</v>
      </c>
    </row>
    <row r="37" spans="1:17" x14ac:dyDescent="0.2">
      <c r="A37" s="18">
        <f t="shared" si="0"/>
        <v>28</v>
      </c>
      <c r="B37" s="18"/>
      <c r="C37" s="19" t="s">
        <v>71</v>
      </c>
      <c r="D37" s="18" t="str">
        <f>"("&amp;A$12&amp;") x ("&amp;A36&amp;")"</f>
        <v>(3) x (27)</v>
      </c>
      <c r="E37" s="65">
        <f>$Q36*E$12</f>
        <v>47.123346104273743</v>
      </c>
      <c r="F37" s="65">
        <f t="shared" ref="F37:P37" si="7">$Q36*F$12</f>
        <v>39.825887382031752</v>
      </c>
      <c r="G37" s="65">
        <f t="shared" si="7"/>
        <v>40.331422620382476</v>
      </c>
      <c r="H37" s="65">
        <f t="shared" si="7"/>
        <v>32.828320582285492</v>
      </c>
      <c r="I37" s="65">
        <f t="shared" si="7"/>
        <v>26.393485187104503</v>
      </c>
      <c r="J37" s="65">
        <f t="shared" si="7"/>
        <v>25.623245640877894</v>
      </c>
      <c r="K37" s="65">
        <f t="shared" si="7"/>
        <v>26.879574983943158</v>
      </c>
      <c r="L37" s="65">
        <f t="shared" si="7"/>
        <v>26.048599276075564</v>
      </c>
      <c r="M37" s="65">
        <f t="shared" si="7"/>
        <v>24.876384335977182</v>
      </c>
      <c r="N37" s="65">
        <f t="shared" si="7"/>
        <v>31.858775891879151</v>
      </c>
      <c r="O37" s="65">
        <f t="shared" si="7"/>
        <v>40.148834206351026</v>
      </c>
      <c r="P37" s="65">
        <f t="shared" si="7"/>
        <v>49.122123788818051</v>
      </c>
      <c r="Q37" s="64">
        <f>SUM(E37:P37)</f>
        <v>411.05999999999995</v>
      </c>
    </row>
    <row r="38" spans="1:17" x14ac:dyDescent="0.2">
      <c r="A38" s="18">
        <f t="shared" si="0"/>
        <v>29</v>
      </c>
      <c r="B38" s="18"/>
      <c r="D38" s="66"/>
      <c r="E38" s="19"/>
      <c r="F38" s="19"/>
      <c r="G38" s="19"/>
      <c r="H38" s="19"/>
      <c r="Q38" s="64"/>
    </row>
    <row r="39" spans="1:17" x14ac:dyDescent="0.2">
      <c r="A39" s="18">
        <f t="shared" si="0"/>
        <v>30</v>
      </c>
      <c r="B39" s="63" t="str">
        <f>B14</f>
        <v>Schedules 8 &amp; 24</v>
      </c>
      <c r="E39" s="19"/>
      <c r="F39" s="19"/>
      <c r="G39" s="19"/>
      <c r="H39" s="19"/>
      <c r="Q39" s="64"/>
    </row>
    <row r="40" spans="1:17" x14ac:dyDescent="0.2">
      <c r="A40" s="18">
        <f t="shared" si="0"/>
        <v>31</v>
      </c>
      <c r="B40" s="18"/>
      <c r="C40" s="19" t="s">
        <v>70</v>
      </c>
      <c r="D40" s="18" t="str">
        <f>$D$36</f>
        <v>JAP-11 Page 2</v>
      </c>
      <c r="E40" s="19"/>
      <c r="F40" s="19"/>
      <c r="G40" s="19"/>
      <c r="H40" s="19"/>
      <c r="Q40" s="184">
        <f>'Exh. JAP-11 Page 2'!E15</f>
        <v>739.87</v>
      </c>
    </row>
    <row r="41" spans="1:17" x14ac:dyDescent="0.2">
      <c r="A41" s="18">
        <f t="shared" si="0"/>
        <v>32</v>
      </c>
      <c r="B41" s="18"/>
      <c r="C41" s="19" t="s">
        <v>71</v>
      </c>
      <c r="D41" s="18" t="str">
        <f>"("&amp;A$16&amp;") x ("&amp;A40&amp;")"</f>
        <v>(7) x (31)</v>
      </c>
      <c r="E41" s="65">
        <f>$Q40*E$16</f>
        <v>73.540652277730103</v>
      </c>
      <c r="F41" s="65">
        <f t="shared" ref="F41:P41" si="8">$Q40*F$16</f>
        <v>62.27741637019723</v>
      </c>
      <c r="G41" s="65">
        <f t="shared" si="8"/>
        <v>67.056492759975015</v>
      </c>
      <c r="H41" s="65">
        <f t="shared" si="8"/>
        <v>57.947221245098859</v>
      </c>
      <c r="I41" s="65">
        <f t="shared" si="8"/>
        <v>56.998049480893023</v>
      </c>
      <c r="J41" s="65">
        <f t="shared" si="8"/>
        <v>54.845763536959893</v>
      </c>
      <c r="K41" s="65">
        <f t="shared" si="8"/>
        <v>59.828929185031626</v>
      </c>
      <c r="L41" s="65">
        <f t="shared" si="8"/>
        <v>60.208543888603643</v>
      </c>
      <c r="M41" s="65">
        <f t="shared" si="8"/>
        <v>53.737546816172653</v>
      </c>
      <c r="N41" s="65">
        <f>$Q40*N$16</f>
        <v>59.095213059138715</v>
      </c>
      <c r="O41" s="65">
        <f t="shared" si="8"/>
        <v>64.684895566412365</v>
      </c>
      <c r="P41" s="65">
        <f t="shared" si="8"/>
        <v>69.649275813786886</v>
      </c>
      <c r="Q41" s="64">
        <f>SUM(E41:P41)</f>
        <v>739.87</v>
      </c>
    </row>
    <row r="42" spans="1:17" x14ac:dyDescent="0.2">
      <c r="A42" s="18">
        <f t="shared" si="0"/>
        <v>33</v>
      </c>
      <c r="B42" s="18"/>
      <c r="D42" s="66"/>
      <c r="Q42" s="64"/>
    </row>
    <row r="43" spans="1:17" x14ac:dyDescent="0.2">
      <c r="A43" s="18">
        <f t="shared" si="0"/>
        <v>34</v>
      </c>
      <c r="B43" s="63" t="str">
        <f>B18</f>
        <v>Schedules 7A, 11, 25, 29, 35 &amp; 43</v>
      </c>
      <c r="E43" s="19"/>
      <c r="F43" s="19"/>
      <c r="G43" s="19"/>
      <c r="H43" s="19"/>
      <c r="Q43" s="64"/>
    </row>
    <row r="44" spans="1:17" x14ac:dyDescent="0.2">
      <c r="A44" s="18">
        <f t="shared" si="0"/>
        <v>35</v>
      </c>
      <c r="B44" s="18"/>
      <c r="C44" s="19" t="s">
        <v>70</v>
      </c>
      <c r="D44" s="18" t="str">
        <f>$D$36</f>
        <v>JAP-11 Page 2</v>
      </c>
      <c r="E44" s="19"/>
      <c r="F44" s="19"/>
      <c r="G44" s="19"/>
      <c r="H44" s="19"/>
      <c r="Q44" s="184">
        <f>'Exh. JAP-11 Page 2'!F15</f>
        <v>12076.47</v>
      </c>
    </row>
    <row r="45" spans="1:17" x14ac:dyDescent="0.2">
      <c r="A45" s="18">
        <f t="shared" si="0"/>
        <v>36</v>
      </c>
      <c r="B45" s="18"/>
      <c r="C45" s="19" t="s">
        <v>71</v>
      </c>
      <c r="D45" s="18" t="str">
        <f>"("&amp;A$20&amp;") x ("&amp;A44&amp;")"</f>
        <v>(11) x (35)</v>
      </c>
      <c r="E45" s="65">
        <f t="shared" ref="E45:P45" si="9">$Q44*E$20</f>
        <v>1096.5554683089592</v>
      </c>
      <c r="F45" s="65">
        <f t="shared" si="9"/>
        <v>1012.1207301414994</v>
      </c>
      <c r="G45" s="65">
        <f t="shared" si="9"/>
        <v>1072.8607018513389</v>
      </c>
      <c r="H45" s="65">
        <f t="shared" si="9"/>
        <v>966.76801898107772</v>
      </c>
      <c r="I45" s="65">
        <f t="shared" si="9"/>
        <v>992.95408043627799</v>
      </c>
      <c r="J45" s="65">
        <f t="shared" si="9"/>
        <v>926.06408033918967</v>
      </c>
      <c r="K45" s="65">
        <f t="shared" si="9"/>
        <v>1039.6117698636706</v>
      </c>
      <c r="L45" s="65">
        <f t="shared" si="9"/>
        <v>992.11942249852655</v>
      </c>
      <c r="M45" s="65">
        <f t="shared" si="9"/>
        <v>898.35569223869027</v>
      </c>
      <c r="N45" s="65">
        <f t="shared" si="9"/>
        <v>979.41062990178648</v>
      </c>
      <c r="O45" s="65">
        <f t="shared" si="9"/>
        <v>1004.3885980113498</v>
      </c>
      <c r="P45" s="65">
        <f t="shared" si="9"/>
        <v>1095.260807427635</v>
      </c>
      <c r="Q45" s="64">
        <f>SUM(E45:P45)</f>
        <v>12076.470000000001</v>
      </c>
    </row>
    <row r="46" spans="1:17" x14ac:dyDescent="0.2">
      <c r="A46" s="18">
        <f t="shared" si="0"/>
        <v>37</v>
      </c>
    </row>
    <row r="47" spans="1:17" x14ac:dyDescent="0.2">
      <c r="A47" s="18">
        <f t="shared" si="0"/>
        <v>38</v>
      </c>
      <c r="B47" s="63" t="s">
        <v>111</v>
      </c>
      <c r="E47" s="19"/>
      <c r="F47" s="19"/>
      <c r="G47" s="19"/>
      <c r="H47" s="19"/>
      <c r="Q47" s="64"/>
    </row>
    <row r="48" spans="1:17" x14ac:dyDescent="0.2">
      <c r="A48" s="18">
        <f t="shared" si="0"/>
        <v>39</v>
      </c>
      <c r="B48" s="18"/>
      <c r="C48" s="19" t="s">
        <v>70</v>
      </c>
      <c r="D48" s="18" t="str">
        <f>$D$36</f>
        <v>JAP-11 Page 2</v>
      </c>
      <c r="E48" s="19"/>
      <c r="F48" s="19"/>
      <c r="G48" s="19"/>
      <c r="H48" s="19"/>
      <c r="Q48" s="184">
        <f>'Exh. JAP-11 Page 2'!G15</f>
        <v>42861.91</v>
      </c>
    </row>
    <row r="49" spans="1:17" x14ac:dyDescent="0.2">
      <c r="A49" s="18">
        <f t="shared" si="0"/>
        <v>40</v>
      </c>
      <c r="B49" s="18"/>
      <c r="C49" s="19" t="s">
        <v>71</v>
      </c>
      <c r="D49" s="18" t="str">
        <f>"("&amp;A$24&amp;") x ("&amp;A48&amp;")"</f>
        <v>(15) x (39)</v>
      </c>
      <c r="E49" s="65">
        <f>$Q48*E$24</f>
        <v>3873.6290610980113</v>
      </c>
      <c r="F49" s="65">
        <f t="shared" ref="F49:P49" si="10">$Q48*F$24</f>
        <v>3259.1592665706776</v>
      </c>
      <c r="G49" s="65">
        <f t="shared" si="10"/>
        <v>3815.0054024509382</v>
      </c>
      <c r="H49" s="65">
        <f t="shared" si="10"/>
        <v>3981.1851046262095</v>
      </c>
      <c r="I49" s="65">
        <f t="shared" si="10"/>
        <v>3580.7156306892575</v>
      </c>
      <c r="J49" s="65">
        <f t="shared" si="10"/>
        <v>3635.7325817504498</v>
      </c>
      <c r="K49" s="65">
        <f t="shared" si="10"/>
        <v>3627.8720703074487</v>
      </c>
      <c r="L49" s="65">
        <f t="shared" si="10"/>
        <v>3569.5803735773002</v>
      </c>
      <c r="M49" s="65">
        <f t="shared" si="10"/>
        <v>3635.7666193202726</v>
      </c>
      <c r="N49" s="65">
        <f t="shared" si="10"/>
        <v>2606.6247605323847</v>
      </c>
      <c r="O49" s="65">
        <f t="shared" si="10"/>
        <v>3589.1917504643743</v>
      </c>
      <c r="P49" s="65">
        <f t="shared" si="10"/>
        <v>3687.4473786126796</v>
      </c>
      <c r="Q49" s="64">
        <f>SUM(E49:P49)</f>
        <v>42861.91</v>
      </c>
    </row>
    <row r="50" spans="1:17" x14ac:dyDescent="0.2">
      <c r="A50" s="18">
        <f t="shared" si="0"/>
        <v>41</v>
      </c>
    </row>
    <row r="51" spans="1:17" x14ac:dyDescent="0.2">
      <c r="A51" s="18">
        <f t="shared" si="0"/>
        <v>42</v>
      </c>
      <c r="B51" s="63" t="str">
        <f>B26</f>
        <v>Schedules 12 &amp; 26</v>
      </c>
      <c r="E51" s="19"/>
      <c r="F51" s="19"/>
      <c r="G51" s="19"/>
      <c r="H51" s="19"/>
      <c r="Q51" s="64"/>
    </row>
    <row r="52" spans="1:17" x14ac:dyDescent="0.2">
      <c r="A52" s="18">
        <f t="shared" si="0"/>
        <v>43</v>
      </c>
      <c r="B52" s="18"/>
      <c r="C52" s="19" t="s">
        <v>70</v>
      </c>
      <c r="D52" s="18" t="str">
        <f>$D$36</f>
        <v>JAP-11 Page 2</v>
      </c>
      <c r="E52" s="19"/>
      <c r="F52" s="19"/>
      <c r="G52" s="19"/>
      <c r="H52" s="19"/>
      <c r="Q52" s="184">
        <f>'Exh. JAP-11 Page 2'!H15</f>
        <v>64057.59</v>
      </c>
    </row>
    <row r="53" spans="1:17" x14ac:dyDescent="0.2">
      <c r="A53" s="18">
        <f t="shared" si="0"/>
        <v>44</v>
      </c>
      <c r="B53" s="18"/>
      <c r="C53" s="19" t="s">
        <v>71</v>
      </c>
      <c r="D53" s="18" t="str">
        <f>"("&amp;A$28&amp;") x ("&amp;A52&amp;")"</f>
        <v>(19) x (43)</v>
      </c>
      <c r="E53" s="65">
        <f t="shared" ref="E53:P53" si="11">$Q52*E$28</f>
        <v>6182.2976682206126</v>
      </c>
      <c r="F53" s="65">
        <f t="shared" si="11"/>
        <v>6433.3264130992302</v>
      </c>
      <c r="G53" s="65">
        <f t="shared" si="11"/>
        <v>6014.6497796257136</v>
      </c>
      <c r="H53" s="65">
        <f t="shared" si="11"/>
        <v>5062.4107139687194</v>
      </c>
      <c r="I53" s="65">
        <f t="shared" si="11"/>
        <v>4350.826595068891</v>
      </c>
      <c r="J53" s="65">
        <f t="shared" si="11"/>
        <v>4340.3198705433188</v>
      </c>
      <c r="K53" s="65">
        <f t="shared" si="11"/>
        <v>4517.2407604755599</v>
      </c>
      <c r="L53" s="65">
        <f t="shared" si="11"/>
        <v>4867.832766689341</v>
      </c>
      <c r="M53" s="65">
        <f t="shared" si="11"/>
        <v>4481.374170414163</v>
      </c>
      <c r="N53" s="65">
        <f t="shared" si="11"/>
        <v>5283.9851831346386</v>
      </c>
      <c r="O53" s="65">
        <f t="shared" si="11"/>
        <v>6039.9708749603369</v>
      </c>
      <c r="P53" s="65">
        <f t="shared" si="11"/>
        <v>6483.3552037994705</v>
      </c>
      <c r="Q53" s="64">
        <f>SUM(E53:P53)</f>
        <v>64057.59</v>
      </c>
    </row>
    <row r="54" spans="1:17" x14ac:dyDescent="0.2">
      <c r="A54" s="18">
        <f t="shared" si="0"/>
        <v>45</v>
      </c>
    </row>
    <row r="55" spans="1:17" x14ac:dyDescent="0.2">
      <c r="A55" s="18">
        <f t="shared" si="0"/>
        <v>46</v>
      </c>
      <c r="B55" s="63" t="str">
        <f>B30</f>
        <v>Schedules 10 &amp; 31</v>
      </c>
      <c r="E55" s="19"/>
      <c r="F55" s="19"/>
      <c r="G55" s="19"/>
      <c r="H55" s="19"/>
      <c r="Q55" s="64"/>
    </row>
    <row r="56" spans="1:17" x14ac:dyDescent="0.2">
      <c r="A56" s="18">
        <f t="shared" si="0"/>
        <v>47</v>
      </c>
      <c r="B56" s="18"/>
      <c r="C56" s="19" t="s">
        <v>70</v>
      </c>
      <c r="D56" s="18" t="str">
        <f>$D$36</f>
        <v>JAP-11 Page 2</v>
      </c>
      <c r="E56" s="19"/>
      <c r="F56" s="19"/>
      <c r="G56" s="19"/>
      <c r="H56" s="19"/>
      <c r="Q56" s="184">
        <f>'Exh. JAP-11 Page 2'!I15</f>
        <v>80989.600000000006</v>
      </c>
    </row>
    <row r="57" spans="1:17" x14ac:dyDescent="0.2">
      <c r="A57" s="18">
        <f t="shared" si="0"/>
        <v>48</v>
      </c>
      <c r="B57" s="18"/>
      <c r="C57" s="19" t="s">
        <v>71</v>
      </c>
      <c r="D57" s="18" t="str">
        <f>"("&amp;A$32&amp;") x ("&amp;A56&amp;")"</f>
        <v>(23) x (47)</v>
      </c>
      <c r="E57" s="65">
        <f t="shared" ref="E57:P57" si="12">$Q56*E$32</f>
        <v>8300.844583610924</v>
      </c>
      <c r="F57" s="65">
        <f t="shared" si="12"/>
        <v>8316.0443355350508</v>
      </c>
      <c r="G57" s="65">
        <f t="shared" si="12"/>
        <v>7560.6156162856641</v>
      </c>
      <c r="H57" s="65">
        <f t="shared" si="12"/>
        <v>7053.840996726396</v>
      </c>
      <c r="I57" s="65">
        <f t="shared" si="12"/>
        <v>5648.3777677146218</v>
      </c>
      <c r="J57" s="65">
        <f t="shared" si="12"/>
        <v>5170.2357267195648</v>
      </c>
      <c r="K57" s="65">
        <f t="shared" si="12"/>
        <v>5545.9039658929341</v>
      </c>
      <c r="L57" s="65">
        <f t="shared" si="12"/>
        <v>5762.6826285969464</v>
      </c>
      <c r="M57" s="65">
        <f t="shared" si="12"/>
        <v>5542.2888472479935</v>
      </c>
      <c r="N57" s="65">
        <f t="shared" si="12"/>
        <v>6343.7939445274642</v>
      </c>
      <c r="O57" s="65">
        <f t="shared" si="12"/>
        <v>7566.4223514550213</v>
      </c>
      <c r="P57" s="65">
        <f t="shared" si="12"/>
        <v>8178.5492356874247</v>
      </c>
      <c r="Q57" s="64">
        <f>SUM(E57:P57)</f>
        <v>80989.600000000006</v>
      </c>
    </row>
  </sheetData>
  <mergeCells count="5">
    <mergeCell ref="A1:Q1"/>
    <mergeCell ref="A3:Q3"/>
    <mergeCell ref="A4:Q4"/>
    <mergeCell ref="A2:Q2"/>
    <mergeCell ref="A5:Q5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workbookViewId="0">
      <pane ySplit="8" topLeftCell="A27" activePane="bottomLeft" state="frozen"/>
      <selection activeCell="F35" sqref="F35"/>
      <selection pane="bottomLeft" activeCell="Q56" sqref="Q56"/>
    </sheetView>
  </sheetViews>
  <sheetFormatPr defaultColWidth="9.140625" defaultRowHeight="11.25" x14ac:dyDescent="0.2"/>
  <cols>
    <col min="1" max="1" width="4.42578125" style="199" bestFit="1" customWidth="1"/>
    <col min="2" max="2" width="23" style="199" customWidth="1"/>
    <col min="3" max="3" width="32.5703125" style="199" bestFit="1" customWidth="1"/>
    <col min="4" max="4" width="14" style="198" customWidth="1"/>
    <col min="5" max="7" width="12" style="198" bestFit="1" customWidth="1"/>
    <col min="8" max="8" width="10.7109375" style="198" bestFit="1" customWidth="1"/>
    <col min="9" max="14" width="10.7109375" style="199" bestFit="1" customWidth="1"/>
    <col min="15" max="16" width="12" style="199" bestFit="1" customWidth="1"/>
    <col min="17" max="17" width="11.7109375" style="199" bestFit="1" customWidth="1"/>
    <col min="18" max="16384" width="9.140625" style="199"/>
  </cols>
  <sheetData>
    <row r="1" spans="1:17" x14ac:dyDescent="0.2">
      <c r="A1" s="332" t="str">
        <f>'Exh. JAP-11 Page 1'!A1:M1</f>
        <v>Puget Sound Energy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</row>
    <row r="2" spans="1:17" x14ac:dyDescent="0.2">
      <c r="A2" s="332" t="str">
        <f>'Exh. JAP-11 Page 1'!A2:M2</f>
        <v>2019 General Rate Case (GRC) - Revised A-1 filing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 x14ac:dyDescent="0.2">
      <c r="A3" s="332" t="str">
        <f>'Exh. JAP-11 Page 1'!A3:M3</f>
        <v>Electric Decoupling Mechanism (Schedule 142)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x14ac:dyDescent="0.2">
      <c r="A4" s="332" t="s">
        <v>35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x14ac:dyDescent="0.2">
      <c r="A5" s="334" t="str">
        <f>'Exh. JAP-11 Page 1'!A5:M5</f>
        <v>Proposed Effective December 1, 2020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</row>
    <row r="6" spans="1:17" x14ac:dyDescent="0.2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</row>
    <row r="7" spans="1:17" ht="33.75" x14ac:dyDescent="0.2">
      <c r="A7" s="193" t="s">
        <v>15</v>
      </c>
      <c r="B7" s="193"/>
      <c r="C7" s="208"/>
      <c r="D7" s="193" t="s">
        <v>14</v>
      </c>
      <c r="E7" s="194" t="s">
        <v>20</v>
      </c>
      <c r="F7" s="194" t="s">
        <v>21</v>
      </c>
      <c r="G7" s="194" t="s">
        <v>22</v>
      </c>
      <c r="H7" s="194" t="s">
        <v>23</v>
      </c>
      <c r="I7" s="194" t="s">
        <v>24</v>
      </c>
      <c r="J7" s="194" t="s">
        <v>25</v>
      </c>
      <c r="K7" s="194" t="s">
        <v>26</v>
      </c>
      <c r="L7" s="194" t="s">
        <v>27</v>
      </c>
      <c r="M7" s="194" t="s">
        <v>28</v>
      </c>
      <c r="N7" s="194" t="s">
        <v>29</v>
      </c>
      <c r="O7" s="194" t="s">
        <v>30</v>
      </c>
      <c r="P7" s="194" t="s">
        <v>31</v>
      </c>
      <c r="Q7" s="193" t="s">
        <v>32</v>
      </c>
    </row>
    <row r="8" spans="1:17" x14ac:dyDescent="0.2">
      <c r="C8" s="198" t="s">
        <v>13</v>
      </c>
      <c r="D8" s="198" t="s">
        <v>12</v>
      </c>
      <c r="E8" s="198" t="s">
        <v>11</v>
      </c>
      <c r="F8" s="198" t="s">
        <v>10</v>
      </c>
      <c r="G8" s="198" t="s">
        <v>9</v>
      </c>
      <c r="H8" s="198" t="s">
        <v>8</v>
      </c>
      <c r="I8" s="198" t="s">
        <v>7</v>
      </c>
      <c r="J8" s="198" t="s">
        <v>6</v>
      </c>
      <c r="K8" s="198" t="s">
        <v>5</v>
      </c>
      <c r="L8" s="198" t="s">
        <v>4</v>
      </c>
      <c r="M8" s="198" t="s">
        <v>3</v>
      </c>
      <c r="N8" s="198" t="s">
        <v>2</v>
      </c>
      <c r="O8" s="198" t="s">
        <v>1</v>
      </c>
      <c r="P8" s="198" t="s">
        <v>0</v>
      </c>
      <c r="Q8" s="198" t="s">
        <v>19</v>
      </c>
    </row>
    <row r="9" spans="1:17" x14ac:dyDescent="0.2">
      <c r="A9" s="198"/>
      <c r="B9" s="216" t="s">
        <v>37</v>
      </c>
      <c r="C9" s="209"/>
      <c r="I9" s="198"/>
      <c r="J9" s="198"/>
    </row>
    <row r="10" spans="1:17" x14ac:dyDescent="0.2">
      <c r="A10" s="198">
        <v>1</v>
      </c>
      <c r="B10" s="217" t="s">
        <v>38</v>
      </c>
      <c r="E10" s="199"/>
      <c r="F10" s="199"/>
      <c r="G10" s="199"/>
      <c r="H10" s="199"/>
      <c r="Q10" s="195"/>
    </row>
    <row r="11" spans="1:17" x14ac:dyDescent="0.2">
      <c r="A11" s="198">
        <f t="shared" ref="A11:A57" si="0">A10+1</f>
        <v>2</v>
      </c>
      <c r="B11" s="198"/>
      <c r="C11" s="199" t="s">
        <v>90</v>
      </c>
      <c r="D11" s="198" t="s">
        <v>234</v>
      </c>
      <c r="E11" s="239">
        <v>1217809396.3717051</v>
      </c>
      <c r="F11" s="239">
        <v>1029221052.455801</v>
      </c>
      <c r="G11" s="239">
        <v>1042285607.8058866</v>
      </c>
      <c r="H11" s="239">
        <v>848382820.3486625</v>
      </c>
      <c r="I11" s="239">
        <v>682087265.04118538</v>
      </c>
      <c r="J11" s="239">
        <v>662181951.97669625</v>
      </c>
      <c r="K11" s="239">
        <v>694649291.53142309</v>
      </c>
      <c r="L11" s="239">
        <v>673174372.85823476</v>
      </c>
      <c r="M11" s="239">
        <v>642880803.18132174</v>
      </c>
      <c r="N11" s="239">
        <v>823326861.21608186</v>
      </c>
      <c r="O11" s="239">
        <v>1037566972.4656866</v>
      </c>
      <c r="P11" s="239">
        <v>1269463840.4366477</v>
      </c>
      <c r="Q11" s="195">
        <f>SUM(E11:P11)</f>
        <v>10623030235.689333</v>
      </c>
    </row>
    <row r="12" spans="1:17" x14ac:dyDescent="0.2">
      <c r="A12" s="198">
        <f t="shared" si="0"/>
        <v>3</v>
      </c>
      <c r="B12" s="198"/>
      <c r="C12" s="199" t="s">
        <v>36</v>
      </c>
      <c r="D12" s="196" t="s">
        <v>73</v>
      </c>
      <c r="E12" s="197">
        <f t="shared" ref="E12:P12" si="1">E11/$Q11</f>
        <v>0.11463860775622474</v>
      </c>
      <c r="F12" s="197">
        <f t="shared" si="1"/>
        <v>9.6885825383232982E-2</v>
      </c>
      <c r="G12" s="197">
        <f t="shared" si="1"/>
        <v>9.8115658590917323E-2</v>
      </c>
      <c r="H12" s="197">
        <f t="shared" si="1"/>
        <v>7.9862600550492602E-2</v>
      </c>
      <c r="I12" s="197">
        <f t="shared" si="1"/>
        <v>6.4208352034020588E-2</v>
      </c>
      <c r="J12" s="197">
        <f t="shared" si="1"/>
        <v>6.2334563423534016E-2</v>
      </c>
      <c r="K12" s="197">
        <f t="shared" si="1"/>
        <v>6.5390879637870769E-2</v>
      </c>
      <c r="L12" s="197">
        <f t="shared" si="1"/>
        <v>6.3369336048449285E-2</v>
      </c>
      <c r="M12" s="197">
        <f t="shared" si="1"/>
        <v>6.0517647876166938E-2</v>
      </c>
      <c r="N12" s="197">
        <f t="shared" si="1"/>
        <v>7.750395536388642E-2</v>
      </c>
      <c r="O12" s="197">
        <f t="shared" si="1"/>
        <v>9.7671469387318216E-2</v>
      </c>
      <c r="P12" s="197">
        <f t="shared" si="1"/>
        <v>0.11950110394788607</v>
      </c>
      <c r="Q12" s="197">
        <f>SUM(E12:P12)</f>
        <v>0.99999999999999989</v>
      </c>
    </row>
    <row r="13" spans="1:17" x14ac:dyDescent="0.2">
      <c r="A13" s="198">
        <f t="shared" si="0"/>
        <v>4</v>
      </c>
      <c r="B13" s="198"/>
      <c r="E13" s="199"/>
      <c r="F13" s="199"/>
      <c r="G13" s="199"/>
      <c r="H13" s="199"/>
    </row>
    <row r="14" spans="1:17" x14ac:dyDescent="0.2">
      <c r="A14" s="198">
        <f t="shared" si="0"/>
        <v>5</v>
      </c>
      <c r="B14" s="217" t="s">
        <v>42</v>
      </c>
      <c r="D14" s="199"/>
      <c r="E14" s="199"/>
      <c r="F14" s="199"/>
      <c r="G14" s="199"/>
      <c r="H14" s="199"/>
    </row>
    <row r="15" spans="1:17" x14ac:dyDescent="0.2">
      <c r="A15" s="198">
        <f t="shared" si="0"/>
        <v>6</v>
      </c>
      <c r="B15" s="198"/>
      <c r="C15" s="199" t="str">
        <f>C11</f>
        <v xml:space="preserve">Weather-Normalized kWh Sales </v>
      </c>
      <c r="D15" s="198" t="str">
        <f>D11</f>
        <v>Exhibit JAP-6</v>
      </c>
      <c r="E15" s="239">
        <v>268383989.57199278</v>
      </c>
      <c r="F15" s="239">
        <v>227279211.53795847</v>
      </c>
      <c r="G15" s="239">
        <v>244720280.50093108</v>
      </c>
      <c r="H15" s="239">
        <v>211476318.75275233</v>
      </c>
      <c r="I15" s="239">
        <v>208012350.22681922</v>
      </c>
      <c r="J15" s="239">
        <v>200157659.37976211</v>
      </c>
      <c r="K15" s="239">
        <v>218343544.81734061</v>
      </c>
      <c r="L15" s="239">
        <v>219728935.14893684</v>
      </c>
      <c r="M15" s="239">
        <v>196113261.95298892</v>
      </c>
      <c r="N15" s="239">
        <v>215665873.9648062</v>
      </c>
      <c r="O15" s="239">
        <v>236065221.06438547</v>
      </c>
      <c r="P15" s="239">
        <v>254182549.85161248</v>
      </c>
      <c r="Q15" s="195">
        <f>SUM(E15:P15)</f>
        <v>2700129196.7702866</v>
      </c>
    </row>
    <row r="16" spans="1:17" x14ac:dyDescent="0.2">
      <c r="A16" s="198">
        <f t="shared" si="0"/>
        <v>7</v>
      </c>
      <c r="B16" s="198"/>
      <c r="C16" s="199" t="s">
        <v>36</v>
      </c>
      <c r="D16" s="196" t="s">
        <v>74</v>
      </c>
      <c r="E16" s="197">
        <f t="shared" ref="E16:P16" si="2">E15/$Q15</f>
        <v>9.9396721420965978E-2</v>
      </c>
      <c r="F16" s="197">
        <f t="shared" si="2"/>
        <v>8.4173457999644846E-2</v>
      </c>
      <c r="G16" s="197">
        <f t="shared" si="2"/>
        <v>9.063280408717074E-2</v>
      </c>
      <c r="H16" s="197">
        <f t="shared" si="2"/>
        <v>7.8320814798679306E-2</v>
      </c>
      <c r="I16" s="197">
        <f t="shared" si="2"/>
        <v>7.7037924879901909E-2</v>
      </c>
      <c r="J16" s="197">
        <f t="shared" si="2"/>
        <v>7.4128919319555994E-2</v>
      </c>
      <c r="K16" s="197">
        <f t="shared" si="2"/>
        <v>8.0864110161287292E-2</v>
      </c>
      <c r="L16" s="197">
        <f t="shared" si="2"/>
        <v>8.1377193140151169E-2</v>
      </c>
      <c r="M16" s="197">
        <f t="shared" si="2"/>
        <v>7.2631066019939516E-2</v>
      </c>
      <c r="N16" s="197">
        <f t="shared" si="2"/>
        <v>7.987242766856166E-2</v>
      </c>
      <c r="O16" s="197">
        <f t="shared" si="2"/>
        <v>8.7427379899728819E-2</v>
      </c>
      <c r="P16" s="197">
        <f t="shared" si="2"/>
        <v>9.4137180604412785E-2</v>
      </c>
      <c r="Q16" s="197">
        <f>SUM(E16:P16)</f>
        <v>0.99999999999999989</v>
      </c>
    </row>
    <row r="17" spans="1:17" x14ac:dyDescent="0.2">
      <c r="A17" s="198">
        <f t="shared" si="0"/>
        <v>8</v>
      </c>
      <c r="B17" s="198"/>
      <c r="D17" s="196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</row>
    <row r="18" spans="1:17" x14ac:dyDescent="0.2">
      <c r="A18" s="198">
        <f t="shared" si="0"/>
        <v>9</v>
      </c>
      <c r="B18" s="217" t="s">
        <v>64</v>
      </c>
      <c r="E18" s="199"/>
      <c r="F18" s="199"/>
      <c r="G18" s="199"/>
      <c r="H18" s="199"/>
      <c r="Q18" s="195"/>
    </row>
    <row r="19" spans="1:17" x14ac:dyDescent="0.2">
      <c r="A19" s="198">
        <f t="shared" si="0"/>
        <v>10</v>
      </c>
      <c r="B19" s="198"/>
      <c r="C19" s="199" t="str">
        <f>C11</f>
        <v xml:space="preserve">Weather-Normalized kWh Sales </v>
      </c>
      <c r="D19" s="198" t="str">
        <f>D11</f>
        <v>Exhibit JAP-6</v>
      </c>
      <c r="E19" s="239">
        <v>284490231.19315612</v>
      </c>
      <c r="F19" s="239">
        <v>262584491.92486563</v>
      </c>
      <c r="G19" s="239">
        <v>278342863.5656966</v>
      </c>
      <c r="H19" s="239">
        <v>250818189.4840396</v>
      </c>
      <c r="I19" s="239">
        <v>257611898.41416478</v>
      </c>
      <c r="J19" s="239">
        <v>240257964.078789</v>
      </c>
      <c r="K19" s="239">
        <v>269716764.2743544</v>
      </c>
      <c r="L19" s="239">
        <v>257395354.84975731</v>
      </c>
      <c r="M19" s="239">
        <v>233069302.88971385</v>
      </c>
      <c r="N19" s="239">
        <v>254098187.08349001</v>
      </c>
      <c r="O19" s="239">
        <v>260578468.40768361</v>
      </c>
      <c r="P19" s="239">
        <v>284154344.51520026</v>
      </c>
      <c r="Q19" s="195">
        <f>SUM(E19:P19)</f>
        <v>3133118060.6809106</v>
      </c>
    </row>
    <row r="20" spans="1:17" x14ac:dyDescent="0.2">
      <c r="A20" s="198">
        <f t="shared" si="0"/>
        <v>11</v>
      </c>
      <c r="B20" s="198"/>
      <c r="C20" s="199" t="s">
        <v>36</v>
      </c>
      <c r="D20" s="196" t="s">
        <v>75</v>
      </c>
      <c r="E20" s="197">
        <f t="shared" ref="E20:P20" si="3">E19/$Q19</f>
        <v>9.0800993030989957E-2</v>
      </c>
      <c r="F20" s="197">
        <f t="shared" si="3"/>
        <v>8.3809319291274637E-2</v>
      </c>
      <c r="G20" s="197">
        <f t="shared" si="3"/>
        <v>8.8838932390950254E-2</v>
      </c>
      <c r="H20" s="197">
        <f t="shared" si="3"/>
        <v>8.0053858369298125E-2</v>
      </c>
      <c r="I20" s="197">
        <f t="shared" si="3"/>
        <v>8.2222212321669999E-2</v>
      </c>
      <c r="J20" s="197">
        <f t="shared" si="3"/>
        <v>7.6683342097416687E-2</v>
      </c>
      <c r="K20" s="197">
        <f t="shared" si="3"/>
        <v>8.6085732822892003E-2</v>
      </c>
      <c r="L20" s="197">
        <f t="shared" si="3"/>
        <v>8.215309792501671E-2</v>
      </c>
      <c r="M20" s="197">
        <f t="shared" si="3"/>
        <v>7.438893089112053E-2</v>
      </c>
      <c r="N20" s="197">
        <f t="shared" si="3"/>
        <v>8.1100738038664161E-2</v>
      </c>
      <c r="O20" s="197">
        <f t="shared" si="3"/>
        <v>8.3169055031093508E-2</v>
      </c>
      <c r="P20" s="197">
        <f t="shared" si="3"/>
        <v>9.0693787789613609E-2</v>
      </c>
      <c r="Q20" s="197">
        <f>SUM(E20:P20)</f>
        <v>1.0000000000000002</v>
      </c>
    </row>
    <row r="21" spans="1:17" x14ac:dyDescent="0.2">
      <c r="A21" s="198">
        <f t="shared" si="0"/>
        <v>12</v>
      </c>
      <c r="B21" s="198"/>
      <c r="E21" s="199"/>
      <c r="F21" s="199"/>
      <c r="G21" s="199"/>
      <c r="H21" s="199"/>
    </row>
    <row r="22" spans="1:17" x14ac:dyDescent="0.2">
      <c r="A22" s="198">
        <f t="shared" si="0"/>
        <v>13</v>
      </c>
      <c r="B22" s="217" t="s">
        <v>111</v>
      </c>
      <c r="D22" s="199"/>
      <c r="E22" s="199"/>
      <c r="F22" s="199"/>
      <c r="G22" s="199"/>
      <c r="H22" s="199"/>
    </row>
    <row r="23" spans="1:17" x14ac:dyDescent="0.2">
      <c r="A23" s="198">
        <f t="shared" si="0"/>
        <v>14</v>
      </c>
      <c r="B23" s="198"/>
      <c r="C23" s="199" t="str">
        <f>C15</f>
        <v xml:space="preserve">Weather-Normalized kWh Sales </v>
      </c>
      <c r="D23" s="198" t="str">
        <f>D15</f>
        <v>Exhibit JAP-6</v>
      </c>
      <c r="E23" s="239">
        <v>30385805</v>
      </c>
      <c r="F23" s="239">
        <v>25565736</v>
      </c>
      <c r="G23" s="239">
        <v>29925945</v>
      </c>
      <c r="H23" s="239">
        <v>31229504</v>
      </c>
      <c r="I23" s="239">
        <v>28088112</v>
      </c>
      <c r="J23" s="239">
        <v>28519680</v>
      </c>
      <c r="K23" s="239">
        <v>28458020</v>
      </c>
      <c r="L23" s="239">
        <v>28000764</v>
      </c>
      <c r="M23" s="239">
        <v>28519947</v>
      </c>
      <c r="N23" s="239">
        <v>20447077</v>
      </c>
      <c r="O23" s="239">
        <v>28154601</v>
      </c>
      <c r="P23" s="239">
        <v>28925345</v>
      </c>
      <c r="Q23" s="195">
        <f>SUM(E23:P23)</f>
        <v>336220536</v>
      </c>
    </row>
    <row r="24" spans="1:17" x14ac:dyDescent="0.2">
      <c r="A24" s="198">
        <f t="shared" si="0"/>
        <v>15</v>
      </c>
      <c r="B24" s="198"/>
      <c r="C24" s="199" t="s">
        <v>36</v>
      </c>
      <c r="D24" s="196" t="s">
        <v>76</v>
      </c>
      <c r="E24" s="197">
        <f t="shared" ref="E24:P24" si="4">E23/$Q23</f>
        <v>9.037462542145254E-2</v>
      </c>
      <c r="F24" s="197">
        <f t="shared" si="4"/>
        <v>7.6038591527318247E-2</v>
      </c>
      <c r="G24" s="197">
        <f t="shared" si="4"/>
        <v>8.9006892190547221E-2</v>
      </c>
      <c r="H24" s="197">
        <f t="shared" si="4"/>
        <v>9.2883987312422825E-2</v>
      </c>
      <c r="I24" s="197">
        <f t="shared" si="4"/>
        <v>8.3540738867895925E-2</v>
      </c>
      <c r="J24" s="197">
        <f t="shared" si="4"/>
        <v>8.4824324948432062E-2</v>
      </c>
      <c r="K24" s="197">
        <f t="shared" si="4"/>
        <v>8.4640933414013714E-2</v>
      </c>
      <c r="L24" s="197">
        <f t="shared" si="4"/>
        <v>8.3280945099677081E-2</v>
      </c>
      <c r="M24" s="197">
        <f t="shared" si="4"/>
        <v>8.4825119070061794E-2</v>
      </c>
      <c r="N24" s="197">
        <f t="shared" si="4"/>
        <v>6.0814479815117541E-2</v>
      </c>
      <c r="O24" s="197">
        <f t="shared" si="4"/>
        <v>8.373849299913079E-2</v>
      </c>
      <c r="P24" s="197">
        <f t="shared" si="4"/>
        <v>8.6030869333930268E-2</v>
      </c>
      <c r="Q24" s="197">
        <f>SUM(E24:P24)</f>
        <v>1.0000000000000002</v>
      </c>
    </row>
    <row r="25" spans="1:17" x14ac:dyDescent="0.2">
      <c r="A25" s="198">
        <f t="shared" si="0"/>
        <v>16</v>
      </c>
      <c r="B25" s="198"/>
      <c r="D25" s="196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</row>
    <row r="26" spans="1:17" x14ac:dyDescent="0.2">
      <c r="A26" s="198">
        <f t="shared" si="0"/>
        <v>17</v>
      </c>
      <c r="B26" s="217" t="s">
        <v>43</v>
      </c>
      <c r="E26" s="199"/>
      <c r="F26" s="199"/>
      <c r="G26" s="199"/>
      <c r="H26" s="199"/>
      <c r="Q26" s="195"/>
    </row>
    <row r="27" spans="1:17" x14ac:dyDescent="0.2">
      <c r="A27" s="198">
        <f t="shared" si="0"/>
        <v>18</v>
      </c>
      <c r="B27" s="198"/>
      <c r="C27" s="42" t="s">
        <v>91</v>
      </c>
      <c r="D27" s="198" t="str">
        <f>D11</f>
        <v>Exhibit JAP-6</v>
      </c>
      <c r="E27" s="239">
        <v>4464881</v>
      </c>
      <c r="F27" s="239">
        <v>4646175</v>
      </c>
      <c r="G27" s="239">
        <v>4343805</v>
      </c>
      <c r="H27" s="239">
        <v>3656094</v>
      </c>
      <c r="I27" s="239">
        <v>3142185</v>
      </c>
      <c r="J27" s="239">
        <v>3134597</v>
      </c>
      <c r="K27" s="239">
        <v>3262370</v>
      </c>
      <c r="L27" s="239">
        <v>3515569</v>
      </c>
      <c r="M27" s="239">
        <v>3236467</v>
      </c>
      <c r="N27" s="239">
        <v>3816116</v>
      </c>
      <c r="O27" s="239">
        <v>4362092</v>
      </c>
      <c r="P27" s="239">
        <v>4682306</v>
      </c>
      <c r="Q27" s="211">
        <f>SUM(E27:P27)</f>
        <v>46262657</v>
      </c>
    </row>
    <row r="28" spans="1:17" x14ac:dyDescent="0.2">
      <c r="A28" s="198">
        <f t="shared" si="0"/>
        <v>19</v>
      </c>
      <c r="B28" s="198"/>
      <c r="C28" s="199" t="s">
        <v>36</v>
      </c>
      <c r="D28" s="196" t="s">
        <v>77</v>
      </c>
      <c r="E28" s="197">
        <f t="shared" ref="E28:P28" si="5">E27/$Q27</f>
        <v>9.6511555745706523E-2</v>
      </c>
      <c r="F28" s="197">
        <f t="shared" si="5"/>
        <v>0.1004303535786974</v>
      </c>
      <c r="G28" s="197">
        <f t="shared" si="5"/>
        <v>9.3894412506397976E-2</v>
      </c>
      <c r="H28" s="197">
        <f t="shared" si="5"/>
        <v>7.9029053605805644E-2</v>
      </c>
      <c r="I28" s="197">
        <f t="shared" si="5"/>
        <v>6.7920547667636125E-2</v>
      </c>
      <c r="J28" s="197">
        <f t="shared" si="5"/>
        <v>6.7756527689276466E-2</v>
      </c>
      <c r="K28" s="197">
        <f t="shared" si="5"/>
        <v>7.0518431312754037E-2</v>
      </c>
      <c r="L28" s="197">
        <f t="shared" si="5"/>
        <v>7.5991506497346234E-2</v>
      </c>
      <c r="M28" s="197">
        <f t="shared" si="5"/>
        <v>6.9958519676031575E-2</v>
      </c>
      <c r="N28" s="197">
        <f t="shared" si="5"/>
        <v>8.2488042137311743E-2</v>
      </c>
      <c r="O28" s="197">
        <f t="shared" si="5"/>
        <v>9.4289698924988244E-2</v>
      </c>
      <c r="P28" s="197">
        <f t="shared" si="5"/>
        <v>0.10121135065804802</v>
      </c>
      <c r="Q28" s="197">
        <f>SUM(E28:P28)</f>
        <v>1</v>
      </c>
    </row>
    <row r="29" spans="1:17" x14ac:dyDescent="0.2">
      <c r="A29" s="198">
        <f t="shared" si="0"/>
        <v>20</v>
      </c>
      <c r="B29" s="198"/>
      <c r="E29" s="199"/>
      <c r="F29" s="199"/>
      <c r="G29" s="199"/>
      <c r="H29" s="199"/>
    </row>
    <row r="30" spans="1:17" x14ac:dyDescent="0.2">
      <c r="A30" s="198">
        <f t="shared" si="0"/>
        <v>21</v>
      </c>
      <c r="B30" s="217" t="s">
        <v>44</v>
      </c>
      <c r="D30" s="199"/>
      <c r="E30" s="199"/>
      <c r="F30" s="199"/>
      <c r="G30" s="199"/>
      <c r="H30" s="199"/>
    </row>
    <row r="31" spans="1:17" x14ac:dyDescent="0.2">
      <c r="A31" s="198">
        <f t="shared" si="0"/>
        <v>22</v>
      </c>
      <c r="B31" s="198"/>
      <c r="C31" s="42" t="str">
        <f>C27</f>
        <v xml:space="preserve">Demand Charge Revenue </v>
      </c>
      <c r="D31" s="198" t="str">
        <f>D11</f>
        <v>Exhibit JAP-6</v>
      </c>
      <c r="E31" s="239">
        <v>3166387</v>
      </c>
      <c r="F31" s="239">
        <v>3172185</v>
      </c>
      <c r="G31" s="239">
        <v>2884024</v>
      </c>
      <c r="H31" s="239">
        <v>2690713</v>
      </c>
      <c r="I31" s="239">
        <v>2154594</v>
      </c>
      <c r="J31" s="239">
        <v>1972205</v>
      </c>
      <c r="K31" s="239">
        <v>2115505</v>
      </c>
      <c r="L31" s="239">
        <v>2198196</v>
      </c>
      <c r="M31" s="239">
        <v>2114126</v>
      </c>
      <c r="N31" s="239">
        <v>2419863</v>
      </c>
      <c r="O31" s="239">
        <v>2886239</v>
      </c>
      <c r="P31" s="239">
        <v>3119737</v>
      </c>
      <c r="Q31" s="211">
        <f>SUM(E31:P31)</f>
        <v>30893774</v>
      </c>
    </row>
    <row r="32" spans="1:17" x14ac:dyDescent="0.2">
      <c r="A32" s="198">
        <f t="shared" si="0"/>
        <v>23</v>
      </c>
      <c r="B32" s="198"/>
      <c r="C32" s="199" t="s">
        <v>36</v>
      </c>
      <c r="D32" s="196" t="s">
        <v>78</v>
      </c>
      <c r="E32" s="197">
        <f t="shared" ref="E32:P32" si="6">E31/$Q31</f>
        <v>0.10249272232003769</v>
      </c>
      <c r="F32" s="197">
        <f t="shared" si="6"/>
        <v>0.10268039767494901</v>
      </c>
      <c r="G32" s="197">
        <f t="shared" si="6"/>
        <v>9.3352919588263972E-2</v>
      </c>
      <c r="H32" s="197">
        <f t="shared" si="6"/>
        <v>8.7095639399705591E-2</v>
      </c>
      <c r="I32" s="197">
        <f t="shared" si="6"/>
        <v>6.9742013390788712E-2</v>
      </c>
      <c r="J32" s="197">
        <f t="shared" si="6"/>
        <v>6.3838267218501693E-2</v>
      </c>
      <c r="K32" s="197">
        <f t="shared" si="6"/>
        <v>6.8476742271759997E-2</v>
      </c>
      <c r="L32" s="197">
        <f t="shared" si="6"/>
        <v>7.1153365723462592E-2</v>
      </c>
      <c r="M32" s="197">
        <f t="shared" si="6"/>
        <v>6.8432105446230046E-2</v>
      </c>
      <c r="N32" s="197">
        <f t="shared" si="6"/>
        <v>7.8328500752287505E-2</v>
      </c>
      <c r="O32" s="197">
        <f t="shared" si="6"/>
        <v>9.3424616882353054E-2</v>
      </c>
      <c r="P32" s="197">
        <f t="shared" si="6"/>
        <v>0.10098270933166016</v>
      </c>
      <c r="Q32" s="197">
        <f>SUM(E32:P32)</f>
        <v>1</v>
      </c>
    </row>
    <row r="33" spans="1:17" x14ac:dyDescent="0.2">
      <c r="A33" s="198">
        <f t="shared" si="0"/>
        <v>24</v>
      </c>
      <c r="B33" s="198"/>
      <c r="D33" s="196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</row>
    <row r="34" spans="1:17" x14ac:dyDescent="0.2">
      <c r="A34" s="198">
        <f t="shared" si="0"/>
        <v>25</v>
      </c>
      <c r="B34" s="216" t="s">
        <v>71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x14ac:dyDescent="0.2">
      <c r="A35" s="198">
        <f t="shared" si="0"/>
        <v>26</v>
      </c>
      <c r="B35" s="217" t="str">
        <f>B10</f>
        <v>Schedule 7</v>
      </c>
      <c r="E35" s="199"/>
      <c r="F35" s="199"/>
      <c r="G35" s="199"/>
      <c r="H35" s="199"/>
    </row>
    <row r="36" spans="1:17" x14ac:dyDescent="0.2">
      <c r="A36" s="198">
        <f t="shared" si="0"/>
        <v>27</v>
      </c>
      <c r="B36" s="198"/>
      <c r="C36" s="199" t="s">
        <v>70</v>
      </c>
      <c r="D36" s="198" t="s">
        <v>233</v>
      </c>
      <c r="E36" s="199"/>
      <c r="F36" s="199"/>
      <c r="G36" s="199"/>
      <c r="H36" s="199"/>
      <c r="Q36" s="240">
        <f>'Exh. JAP-11 Page 2'!D21</f>
        <v>421.96</v>
      </c>
    </row>
    <row r="37" spans="1:17" x14ac:dyDescent="0.2">
      <c r="A37" s="198">
        <f t="shared" si="0"/>
        <v>28</v>
      </c>
      <c r="B37" s="198"/>
      <c r="C37" s="199" t="s">
        <v>71</v>
      </c>
      <c r="D37" s="198" t="str">
        <f>"("&amp;A$12&amp;") x ("&amp;A36&amp;")"</f>
        <v>(3) x (27)</v>
      </c>
      <c r="E37" s="218">
        <f>$Q36*E$12</f>
        <v>48.37290692881659</v>
      </c>
      <c r="F37" s="218">
        <f t="shared" ref="F37:P37" si="7">$Q36*F$12</f>
        <v>40.88194287870899</v>
      </c>
      <c r="G37" s="218">
        <f t="shared" si="7"/>
        <v>41.400883299023469</v>
      </c>
      <c r="H37" s="218">
        <f t="shared" si="7"/>
        <v>33.698822928285857</v>
      </c>
      <c r="I37" s="218">
        <f t="shared" si="7"/>
        <v>27.093356224275325</v>
      </c>
      <c r="J37" s="218">
        <f t="shared" si="7"/>
        <v>26.302692382194412</v>
      </c>
      <c r="K37" s="218">
        <f t="shared" si="7"/>
        <v>27.59233557199595</v>
      </c>
      <c r="L37" s="218">
        <f t="shared" si="7"/>
        <v>26.73932503900366</v>
      </c>
      <c r="M37" s="218">
        <f t="shared" si="7"/>
        <v>25.536026697827399</v>
      </c>
      <c r="N37" s="218">
        <f t="shared" si="7"/>
        <v>32.703569005345514</v>
      </c>
      <c r="O37" s="218">
        <f t="shared" si="7"/>
        <v>41.21345322267279</v>
      </c>
      <c r="P37" s="218">
        <f t="shared" si="7"/>
        <v>50.424685821850005</v>
      </c>
      <c r="Q37" s="219">
        <f>SUM(E37:P37)</f>
        <v>421.96000000000004</v>
      </c>
    </row>
    <row r="38" spans="1:17" x14ac:dyDescent="0.2">
      <c r="A38" s="198">
        <f t="shared" si="0"/>
        <v>29</v>
      </c>
      <c r="B38" s="198"/>
      <c r="D38" s="220"/>
      <c r="E38" s="199"/>
      <c r="F38" s="199"/>
      <c r="G38" s="199"/>
      <c r="H38" s="199"/>
      <c r="Q38" s="219"/>
    </row>
    <row r="39" spans="1:17" x14ac:dyDescent="0.2">
      <c r="A39" s="198">
        <f t="shared" si="0"/>
        <v>30</v>
      </c>
      <c r="B39" s="217" t="str">
        <f>B14</f>
        <v>Schedules 8 &amp; 24</v>
      </c>
      <c r="E39" s="199"/>
      <c r="F39" s="199"/>
      <c r="G39" s="199"/>
      <c r="H39" s="199"/>
      <c r="Q39" s="219"/>
    </row>
    <row r="40" spans="1:17" x14ac:dyDescent="0.2">
      <c r="A40" s="198">
        <f t="shared" si="0"/>
        <v>31</v>
      </c>
      <c r="B40" s="198"/>
      <c r="C40" s="199" t="s">
        <v>70</v>
      </c>
      <c r="D40" s="198" t="str">
        <f>$D$36</f>
        <v>JAP-11 Page 2</v>
      </c>
      <c r="E40" s="199"/>
      <c r="F40" s="199"/>
      <c r="G40" s="199"/>
      <c r="H40" s="199"/>
      <c r="Q40" s="240">
        <f>'Exh. JAP-11 Page 2'!E21</f>
        <v>762.3</v>
      </c>
    </row>
    <row r="41" spans="1:17" x14ac:dyDescent="0.2">
      <c r="A41" s="198">
        <f t="shared" si="0"/>
        <v>32</v>
      </c>
      <c r="B41" s="198"/>
      <c r="C41" s="199" t="s">
        <v>71</v>
      </c>
      <c r="D41" s="198" t="str">
        <f>"("&amp;A$16&amp;") x ("&amp;A40&amp;")"</f>
        <v>(7) x (31)</v>
      </c>
      <c r="E41" s="218">
        <f>$Q40*E$16</f>
        <v>75.770120739202355</v>
      </c>
      <c r="F41" s="218">
        <f t="shared" ref="F41:P41" si="8">$Q40*F$16</f>
        <v>64.165427033129262</v>
      </c>
      <c r="G41" s="218">
        <f t="shared" si="8"/>
        <v>69.08938655565025</v>
      </c>
      <c r="H41" s="218">
        <f t="shared" si="8"/>
        <v>59.703957121033234</v>
      </c>
      <c r="I41" s="218">
        <f t="shared" si="8"/>
        <v>58.726010135949224</v>
      </c>
      <c r="J41" s="218">
        <f t="shared" si="8"/>
        <v>56.508475197297528</v>
      </c>
      <c r="K41" s="218">
        <f t="shared" si="8"/>
        <v>61.642711175949302</v>
      </c>
      <c r="L41" s="218">
        <f t="shared" si="8"/>
        <v>62.033834330737236</v>
      </c>
      <c r="M41" s="218">
        <f t="shared" si="8"/>
        <v>55.366661626999893</v>
      </c>
      <c r="N41" s="218">
        <f>$Q40*N$16</f>
        <v>60.88675161174455</v>
      </c>
      <c r="O41" s="218">
        <f t="shared" si="8"/>
        <v>66.645891697563272</v>
      </c>
      <c r="P41" s="218">
        <f t="shared" si="8"/>
        <v>71.760772774743856</v>
      </c>
      <c r="Q41" s="219">
        <f>SUM(E41:P41)</f>
        <v>762.29999999999984</v>
      </c>
    </row>
    <row r="42" spans="1:17" x14ac:dyDescent="0.2">
      <c r="A42" s="198">
        <f t="shared" si="0"/>
        <v>33</v>
      </c>
      <c r="B42" s="198"/>
      <c r="D42" s="220"/>
      <c r="Q42" s="219"/>
    </row>
    <row r="43" spans="1:17" x14ac:dyDescent="0.2">
      <c r="A43" s="198">
        <f t="shared" si="0"/>
        <v>34</v>
      </c>
      <c r="B43" s="217" t="str">
        <f>B18</f>
        <v>Schedules 7A, 11, 25, 29, 35 &amp; 43</v>
      </c>
      <c r="E43" s="199"/>
      <c r="F43" s="199"/>
      <c r="G43" s="199"/>
      <c r="H43" s="199"/>
      <c r="Q43" s="219"/>
    </row>
    <row r="44" spans="1:17" x14ac:dyDescent="0.2">
      <c r="A44" s="198">
        <f t="shared" si="0"/>
        <v>35</v>
      </c>
      <c r="B44" s="198"/>
      <c r="C44" s="199" t="s">
        <v>70</v>
      </c>
      <c r="D44" s="198" t="str">
        <f>$D$36</f>
        <v>JAP-11 Page 2</v>
      </c>
      <c r="E44" s="199"/>
      <c r="F44" s="199"/>
      <c r="G44" s="199"/>
      <c r="H44" s="199"/>
      <c r="Q44" s="240">
        <f>'Exh. JAP-11 Page 2'!F21</f>
        <v>12448.59</v>
      </c>
    </row>
    <row r="45" spans="1:17" x14ac:dyDescent="0.2">
      <c r="A45" s="198">
        <f t="shared" si="0"/>
        <v>36</v>
      </c>
      <c r="B45" s="198"/>
      <c r="C45" s="199" t="s">
        <v>71</v>
      </c>
      <c r="D45" s="198" t="str">
        <f>"("&amp;A$20&amp;") x ("&amp;A44&amp;")"</f>
        <v>(11) x (35)</v>
      </c>
      <c r="E45" s="218">
        <f t="shared" ref="E45:P45" si="9">$Q44*E$20</f>
        <v>1130.3443338356512</v>
      </c>
      <c r="F45" s="218">
        <f t="shared" si="9"/>
        <v>1043.3078540361685</v>
      </c>
      <c r="G45" s="218">
        <f t="shared" si="9"/>
        <v>1105.9194453726595</v>
      </c>
      <c r="H45" s="218">
        <f t="shared" si="9"/>
        <v>996.55766075746101</v>
      </c>
      <c r="I45" s="218">
        <f t="shared" si="9"/>
        <v>1023.5506100854179</v>
      </c>
      <c r="J45" s="218">
        <f t="shared" si="9"/>
        <v>954.59948560048042</v>
      </c>
      <c r="K45" s="218">
        <f t="shared" si="9"/>
        <v>1071.6459927617252</v>
      </c>
      <c r="L45" s="218">
        <f t="shared" si="9"/>
        <v>1022.6902332983838</v>
      </c>
      <c r="M45" s="218">
        <f t="shared" si="9"/>
        <v>926.03730120189414</v>
      </c>
      <c r="N45" s="218">
        <f t="shared" si="9"/>
        <v>1009.5898365407343</v>
      </c>
      <c r="O45" s="218">
        <f t="shared" si="9"/>
        <v>1035.3374667695205</v>
      </c>
      <c r="P45" s="218">
        <f t="shared" si="9"/>
        <v>1129.009779739906</v>
      </c>
      <c r="Q45" s="219">
        <f>SUM(E45:P45)</f>
        <v>12448.590000000004</v>
      </c>
    </row>
    <row r="46" spans="1:17" x14ac:dyDescent="0.2">
      <c r="A46" s="198">
        <f t="shared" si="0"/>
        <v>37</v>
      </c>
    </row>
    <row r="47" spans="1:17" x14ac:dyDescent="0.2">
      <c r="A47" s="198">
        <f t="shared" si="0"/>
        <v>38</v>
      </c>
      <c r="B47" s="217" t="s">
        <v>111</v>
      </c>
      <c r="E47" s="199"/>
      <c r="F47" s="199"/>
      <c r="G47" s="199"/>
      <c r="H47" s="199"/>
      <c r="Q47" s="219"/>
    </row>
    <row r="48" spans="1:17" x14ac:dyDescent="0.2">
      <c r="A48" s="198">
        <f t="shared" si="0"/>
        <v>39</v>
      </c>
      <c r="B48" s="198"/>
      <c r="C48" s="199" t="s">
        <v>70</v>
      </c>
      <c r="D48" s="198" t="str">
        <f>$D$36</f>
        <v>JAP-11 Page 2</v>
      </c>
      <c r="E48" s="199"/>
      <c r="F48" s="199"/>
      <c r="G48" s="199"/>
      <c r="H48" s="199"/>
      <c r="Q48" s="240">
        <f>'Exh. JAP-11 Page 2'!G21</f>
        <v>42861.91</v>
      </c>
    </row>
    <row r="49" spans="1:17" x14ac:dyDescent="0.2">
      <c r="A49" s="198">
        <f t="shared" si="0"/>
        <v>40</v>
      </c>
      <c r="B49" s="198"/>
      <c r="C49" s="199" t="s">
        <v>71</v>
      </c>
      <c r="D49" s="198" t="str">
        <f>"("&amp;A$24&amp;") x ("&amp;A48&amp;")"</f>
        <v>(15) x (39)</v>
      </c>
      <c r="E49" s="218">
        <f>$Q48*E$24</f>
        <v>3873.6290610980113</v>
      </c>
      <c r="F49" s="218">
        <f t="shared" ref="F49:P49" si="10">$Q48*F$24</f>
        <v>3259.1592665706776</v>
      </c>
      <c r="G49" s="218">
        <f t="shared" si="10"/>
        <v>3815.0054024509382</v>
      </c>
      <c r="H49" s="218">
        <f t="shared" si="10"/>
        <v>3981.1851046262095</v>
      </c>
      <c r="I49" s="218">
        <f t="shared" si="10"/>
        <v>3580.7156306892575</v>
      </c>
      <c r="J49" s="218">
        <f t="shared" si="10"/>
        <v>3635.7325817504498</v>
      </c>
      <c r="K49" s="218">
        <f t="shared" si="10"/>
        <v>3627.8720703074487</v>
      </c>
      <c r="L49" s="218">
        <f t="shared" si="10"/>
        <v>3569.5803735773002</v>
      </c>
      <c r="M49" s="218">
        <f t="shared" si="10"/>
        <v>3635.7666193202726</v>
      </c>
      <c r="N49" s="218">
        <f t="shared" si="10"/>
        <v>2606.6247605323847</v>
      </c>
      <c r="O49" s="218">
        <f t="shared" si="10"/>
        <v>3589.1917504643743</v>
      </c>
      <c r="P49" s="218">
        <f t="shared" si="10"/>
        <v>3687.4473786126796</v>
      </c>
      <c r="Q49" s="219">
        <f>SUM(E49:P49)</f>
        <v>42861.91</v>
      </c>
    </row>
    <row r="50" spans="1:17" x14ac:dyDescent="0.2">
      <c r="A50" s="198">
        <f t="shared" si="0"/>
        <v>41</v>
      </c>
    </row>
    <row r="51" spans="1:17" x14ac:dyDescent="0.2">
      <c r="A51" s="198">
        <f t="shared" si="0"/>
        <v>42</v>
      </c>
      <c r="B51" s="217" t="str">
        <f>B26</f>
        <v>Schedules 12 &amp; 26</v>
      </c>
      <c r="E51" s="199"/>
      <c r="F51" s="199"/>
      <c r="G51" s="199"/>
      <c r="H51" s="199"/>
      <c r="Q51" s="219"/>
    </row>
    <row r="52" spans="1:17" x14ac:dyDescent="0.2">
      <c r="A52" s="198">
        <f t="shared" si="0"/>
        <v>43</v>
      </c>
      <c r="B52" s="198"/>
      <c r="C52" s="199" t="s">
        <v>70</v>
      </c>
      <c r="D52" s="198" t="str">
        <f>$D$36</f>
        <v>JAP-11 Page 2</v>
      </c>
      <c r="E52" s="199"/>
      <c r="F52" s="199"/>
      <c r="G52" s="199"/>
      <c r="H52" s="199"/>
      <c r="Q52" s="240">
        <f>'Exh. JAP-11 Page 2'!H21</f>
        <v>66258.600000000006</v>
      </c>
    </row>
    <row r="53" spans="1:17" x14ac:dyDescent="0.2">
      <c r="A53" s="198">
        <f t="shared" si="0"/>
        <v>44</v>
      </c>
      <c r="B53" s="198"/>
      <c r="C53" s="199" t="s">
        <v>71</v>
      </c>
      <c r="D53" s="198" t="str">
        <f>"("&amp;A$28&amp;") x ("&amp;A52&amp;")"</f>
        <v>(19) x (43)</v>
      </c>
      <c r="E53" s="218">
        <f t="shared" ref="E53:P53" si="11">$Q52*E$28</f>
        <v>6394.7205675324713</v>
      </c>
      <c r="F53" s="218">
        <f t="shared" si="11"/>
        <v>6654.3746256294799</v>
      </c>
      <c r="G53" s="218">
        <f t="shared" si="11"/>
        <v>6221.3123204964213</v>
      </c>
      <c r="H53" s="218">
        <f t="shared" si="11"/>
        <v>5236.3544512456347</v>
      </c>
      <c r="I53" s="218">
        <f t="shared" si="11"/>
        <v>4500.3203996908351</v>
      </c>
      <c r="J53" s="218">
        <f t="shared" si="11"/>
        <v>4489.4526655526943</v>
      </c>
      <c r="K53" s="218">
        <f t="shared" si="11"/>
        <v>4672.452532979245</v>
      </c>
      <c r="L53" s="218">
        <f t="shared" si="11"/>
        <v>5035.0908324050661</v>
      </c>
      <c r="M53" s="218">
        <f t="shared" si="11"/>
        <v>4635.3535718063058</v>
      </c>
      <c r="N53" s="218">
        <f t="shared" si="11"/>
        <v>5465.5421887592847</v>
      </c>
      <c r="O53" s="218">
        <f t="shared" si="11"/>
        <v>6247.503445191227</v>
      </c>
      <c r="P53" s="218">
        <f t="shared" si="11"/>
        <v>6706.1223987113417</v>
      </c>
      <c r="Q53" s="219">
        <f>SUM(E53:P53)</f>
        <v>66258.600000000006</v>
      </c>
    </row>
    <row r="54" spans="1:17" x14ac:dyDescent="0.2">
      <c r="A54" s="198">
        <f t="shared" si="0"/>
        <v>45</v>
      </c>
    </row>
    <row r="55" spans="1:17" x14ac:dyDescent="0.2">
      <c r="A55" s="198">
        <f t="shared" si="0"/>
        <v>46</v>
      </c>
      <c r="B55" s="217" t="str">
        <f>B30</f>
        <v>Schedules 10 &amp; 31</v>
      </c>
      <c r="E55" s="199"/>
      <c r="F55" s="199"/>
      <c r="G55" s="199"/>
      <c r="H55" s="199"/>
      <c r="Q55" s="219"/>
    </row>
    <row r="56" spans="1:17" x14ac:dyDescent="0.2">
      <c r="A56" s="198">
        <f t="shared" si="0"/>
        <v>47</v>
      </c>
      <c r="B56" s="198"/>
      <c r="C56" s="199" t="s">
        <v>70</v>
      </c>
      <c r="D56" s="198" t="str">
        <f>$D$36</f>
        <v>JAP-11 Page 2</v>
      </c>
      <c r="E56" s="199"/>
      <c r="F56" s="199"/>
      <c r="G56" s="199"/>
      <c r="H56" s="199"/>
      <c r="Q56" s="240">
        <f>'Exh. JAP-11 Page 2'!I21</f>
        <v>83642.5</v>
      </c>
    </row>
    <row r="57" spans="1:17" x14ac:dyDescent="0.2">
      <c r="A57" s="198">
        <f t="shared" si="0"/>
        <v>48</v>
      </c>
      <c r="B57" s="198"/>
      <c r="C57" s="199" t="s">
        <v>71</v>
      </c>
      <c r="D57" s="198" t="str">
        <f>"("&amp;A$32&amp;") x ("&amp;A56&amp;")"</f>
        <v>(23) x (47)</v>
      </c>
      <c r="E57" s="218">
        <f t="shared" ref="E57:P57" si="12">$Q56*E$32</f>
        <v>8572.7475266537513</v>
      </c>
      <c r="F57" s="218">
        <f t="shared" si="12"/>
        <v>8588.445162526923</v>
      </c>
      <c r="G57" s="218">
        <f t="shared" si="12"/>
        <v>7808.2715766613692</v>
      </c>
      <c r="H57" s="218">
        <f t="shared" si="12"/>
        <v>7284.8970184898744</v>
      </c>
      <c r="I57" s="218">
        <f t="shared" si="12"/>
        <v>5833.3963550390445</v>
      </c>
      <c r="J57" s="218">
        <f t="shared" si="12"/>
        <v>5339.5922658235277</v>
      </c>
      <c r="K57" s="218">
        <f t="shared" si="12"/>
        <v>5727.5659154656851</v>
      </c>
      <c r="L57" s="218">
        <f t="shared" si="12"/>
        <v>5951.4453925247199</v>
      </c>
      <c r="M57" s="218">
        <f t="shared" si="12"/>
        <v>5723.8323797862968</v>
      </c>
      <c r="N57" s="218">
        <f t="shared" si="12"/>
        <v>6551.5916241732075</v>
      </c>
      <c r="O57" s="218">
        <f t="shared" si="12"/>
        <v>7814.2685175822153</v>
      </c>
      <c r="P57" s="218">
        <f t="shared" si="12"/>
        <v>8446.4462652733855</v>
      </c>
      <c r="Q57" s="219">
        <f>SUM(E57:P57)</f>
        <v>83642.5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F35" sqref="F35"/>
    </sheetView>
  </sheetViews>
  <sheetFormatPr defaultRowHeight="15" x14ac:dyDescent="0.25"/>
  <cols>
    <col min="1" max="16384" width="9.140625" style="48"/>
  </cols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zoomScaleNormal="100" workbookViewId="0">
      <selection activeCell="F35" sqref="F35"/>
    </sheetView>
  </sheetViews>
  <sheetFormatPr defaultColWidth="13.7109375" defaultRowHeight="11.25" x14ac:dyDescent="0.2"/>
  <cols>
    <col min="1" max="1" width="3" style="19" customWidth="1"/>
    <col min="2" max="2" width="17" style="19" bestFit="1" customWidth="1"/>
    <col min="3" max="11" width="9.85546875" style="19" bestFit="1" customWidth="1"/>
    <col min="12" max="14" width="9.140625" style="19" customWidth="1"/>
    <col min="15" max="15" width="8.7109375" style="19" bestFit="1" customWidth="1"/>
    <col min="16" max="16" width="7.85546875" style="19" bestFit="1" customWidth="1"/>
    <col min="17" max="16384" width="13.7109375" style="19"/>
  </cols>
  <sheetData>
    <row r="1" spans="2:16" x14ac:dyDescent="0.2">
      <c r="B1" s="332" t="s">
        <v>16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2:16" x14ac:dyDescent="0.2">
      <c r="B2" s="332" t="s">
        <v>82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2:16" x14ac:dyDescent="0.2">
      <c r="B3" s="332" t="s">
        <v>243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5" spans="2:16" s="56" customFormat="1" x14ac:dyDescent="0.2">
      <c r="B5" s="54" t="s">
        <v>83</v>
      </c>
      <c r="C5" s="55">
        <v>43131</v>
      </c>
      <c r="D5" s="55">
        <f t="shared" ref="D5:K5" si="0">EDATE(C5,1)</f>
        <v>43159</v>
      </c>
      <c r="E5" s="55">
        <f t="shared" si="0"/>
        <v>43187</v>
      </c>
      <c r="F5" s="55">
        <f t="shared" si="0"/>
        <v>43218</v>
      </c>
      <c r="G5" s="55">
        <f t="shared" si="0"/>
        <v>43248</v>
      </c>
      <c r="H5" s="55">
        <f t="shared" si="0"/>
        <v>43279</v>
      </c>
      <c r="I5" s="55">
        <f t="shared" si="0"/>
        <v>43309</v>
      </c>
      <c r="J5" s="55">
        <f t="shared" si="0"/>
        <v>43340</v>
      </c>
      <c r="K5" s="55">
        <f t="shared" si="0"/>
        <v>43371</v>
      </c>
      <c r="L5" s="55">
        <f t="shared" ref="L5" si="1">EDATE(K5,1)</f>
        <v>43401</v>
      </c>
      <c r="M5" s="55">
        <f t="shared" ref="M5" si="2">EDATE(L5,1)</f>
        <v>43432</v>
      </c>
      <c r="N5" s="55">
        <f t="shared" ref="N5" si="3">EDATE(M5,1)</f>
        <v>43462</v>
      </c>
      <c r="O5" s="54" t="s">
        <v>18</v>
      </c>
      <c r="P5" s="54" t="s">
        <v>34</v>
      </c>
    </row>
    <row r="6" spans="2:16" x14ac:dyDescent="0.2">
      <c r="B6" s="36">
        <v>3</v>
      </c>
      <c r="C6" s="57">
        <v>1</v>
      </c>
      <c r="D6" s="57">
        <v>1</v>
      </c>
      <c r="E6" s="57">
        <v>1</v>
      </c>
      <c r="F6" s="57">
        <v>1</v>
      </c>
      <c r="G6" s="57">
        <v>1</v>
      </c>
      <c r="H6" s="57">
        <v>1</v>
      </c>
      <c r="I6" s="57">
        <v>1</v>
      </c>
      <c r="J6" s="57">
        <v>1</v>
      </c>
      <c r="K6" s="57">
        <v>1</v>
      </c>
      <c r="L6" s="57">
        <v>1</v>
      </c>
      <c r="M6" s="57">
        <v>1</v>
      </c>
      <c r="N6" s="57">
        <v>1</v>
      </c>
      <c r="O6" s="58">
        <f t="shared" ref="O6:O23" si="4">SUM(C6:N6)</f>
        <v>12</v>
      </c>
      <c r="P6" s="58">
        <f>ROUND(O6/12,0)</f>
        <v>1</v>
      </c>
    </row>
    <row r="7" spans="2:16" x14ac:dyDescent="0.2">
      <c r="B7" s="36">
        <v>5</v>
      </c>
      <c r="C7" s="58">
        <v>8</v>
      </c>
      <c r="D7" s="58">
        <v>8</v>
      </c>
      <c r="E7" s="58">
        <v>8</v>
      </c>
      <c r="F7" s="58">
        <v>8</v>
      </c>
      <c r="G7" s="58">
        <v>8</v>
      </c>
      <c r="H7" s="58">
        <v>8</v>
      </c>
      <c r="I7" s="58">
        <v>8</v>
      </c>
      <c r="J7" s="58">
        <v>8</v>
      </c>
      <c r="K7" s="58">
        <v>8</v>
      </c>
      <c r="L7" s="58">
        <v>8</v>
      </c>
      <c r="M7" s="58">
        <v>8</v>
      </c>
      <c r="N7" s="58">
        <v>8</v>
      </c>
      <c r="O7" s="58">
        <f t="shared" si="4"/>
        <v>96</v>
      </c>
      <c r="P7" s="58">
        <f t="shared" ref="P7:P23" si="5">ROUND(O7/12,0)</f>
        <v>8</v>
      </c>
    </row>
    <row r="8" spans="2:16" x14ac:dyDescent="0.2">
      <c r="B8" s="36">
        <v>7</v>
      </c>
      <c r="C8" s="58">
        <v>1005060</v>
      </c>
      <c r="D8" s="58">
        <v>1006215</v>
      </c>
      <c r="E8" s="58">
        <v>1006855</v>
      </c>
      <c r="F8" s="58">
        <v>1007514</v>
      </c>
      <c r="G8" s="58">
        <v>1008561</v>
      </c>
      <c r="H8" s="58">
        <v>1009696</v>
      </c>
      <c r="I8" s="58">
        <v>1010120</v>
      </c>
      <c r="J8" s="58">
        <v>1011178</v>
      </c>
      <c r="K8" s="58">
        <v>1012929</v>
      </c>
      <c r="L8" s="58">
        <v>1014406</v>
      </c>
      <c r="M8" s="58">
        <v>1016565</v>
      </c>
      <c r="N8" s="58">
        <v>1017763</v>
      </c>
      <c r="O8" s="58">
        <f t="shared" si="4"/>
        <v>12126862</v>
      </c>
      <c r="P8" s="58">
        <f t="shared" si="5"/>
        <v>1010572</v>
      </c>
    </row>
    <row r="9" spans="2:16" x14ac:dyDescent="0.2">
      <c r="B9" s="36" t="s">
        <v>41</v>
      </c>
      <c r="C9" s="58">
        <v>2</v>
      </c>
      <c r="D9" s="58">
        <v>2</v>
      </c>
      <c r="E9" s="58">
        <v>2</v>
      </c>
      <c r="F9" s="58">
        <v>2</v>
      </c>
      <c r="G9" s="58">
        <v>2</v>
      </c>
      <c r="H9" s="58">
        <v>2</v>
      </c>
      <c r="I9" s="58">
        <v>2</v>
      </c>
      <c r="J9" s="58">
        <v>2</v>
      </c>
      <c r="K9" s="58">
        <v>2</v>
      </c>
      <c r="L9" s="58">
        <v>2</v>
      </c>
      <c r="M9" s="58">
        <v>2</v>
      </c>
      <c r="N9" s="58">
        <v>2</v>
      </c>
      <c r="O9" s="58">
        <f t="shared" si="4"/>
        <v>24</v>
      </c>
      <c r="P9" s="58">
        <f t="shared" si="5"/>
        <v>2</v>
      </c>
    </row>
    <row r="10" spans="2:16" x14ac:dyDescent="0.2">
      <c r="B10" s="36" t="s">
        <v>45</v>
      </c>
      <c r="C10" s="58">
        <v>120955</v>
      </c>
      <c r="D10" s="58">
        <v>121123</v>
      </c>
      <c r="E10" s="58">
        <v>121264</v>
      </c>
      <c r="F10" s="58">
        <v>121274</v>
      </c>
      <c r="G10" s="58">
        <v>121372</v>
      </c>
      <c r="H10" s="58">
        <v>121592</v>
      </c>
      <c r="I10" s="58">
        <v>121703</v>
      </c>
      <c r="J10" s="58">
        <v>121847</v>
      </c>
      <c r="K10" s="58">
        <v>121977</v>
      </c>
      <c r="L10" s="58">
        <v>122030</v>
      </c>
      <c r="M10" s="58">
        <v>121995</v>
      </c>
      <c r="N10" s="58">
        <v>121946</v>
      </c>
      <c r="O10" s="58">
        <f t="shared" si="4"/>
        <v>1459078</v>
      </c>
      <c r="P10" s="58">
        <f t="shared" si="5"/>
        <v>121590</v>
      </c>
    </row>
    <row r="11" spans="2:16" x14ac:dyDescent="0.2">
      <c r="B11" s="36" t="s">
        <v>89</v>
      </c>
      <c r="C11" s="58">
        <v>7282</v>
      </c>
      <c r="D11" s="58">
        <v>7383</v>
      </c>
      <c r="E11" s="58">
        <v>7504</v>
      </c>
      <c r="F11" s="58">
        <v>7620</v>
      </c>
      <c r="G11" s="58">
        <v>7675</v>
      </c>
      <c r="H11" s="58">
        <v>7576</v>
      </c>
      <c r="I11" s="58">
        <v>7546</v>
      </c>
      <c r="J11" s="58">
        <v>7547</v>
      </c>
      <c r="K11" s="58">
        <v>7550</v>
      </c>
      <c r="L11" s="58">
        <v>7591</v>
      </c>
      <c r="M11" s="58">
        <v>7641</v>
      </c>
      <c r="N11" s="58">
        <v>7649</v>
      </c>
      <c r="O11" s="58">
        <f t="shared" si="4"/>
        <v>90564</v>
      </c>
      <c r="P11" s="58">
        <f t="shared" si="5"/>
        <v>7547</v>
      </c>
    </row>
    <row r="12" spans="2:16" x14ac:dyDescent="0.2">
      <c r="B12" s="36" t="s">
        <v>46</v>
      </c>
      <c r="C12" s="58">
        <v>803</v>
      </c>
      <c r="D12" s="58">
        <v>798</v>
      </c>
      <c r="E12" s="58">
        <v>799</v>
      </c>
      <c r="F12" s="58">
        <v>803</v>
      </c>
      <c r="G12" s="58">
        <v>832</v>
      </c>
      <c r="H12" s="58">
        <v>861</v>
      </c>
      <c r="I12" s="58">
        <v>859</v>
      </c>
      <c r="J12" s="58">
        <v>863</v>
      </c>
      <c r="K12" s="58">
        <v>863</v>
      </c>
      <c r="L12" s="58">
        <v>850</v>
      </c>
      <c r="M12" s="58">
        <v>820</v>
      </c>
      <c r="N12" s="58">
        <v>822</v>
      </c>
      <c r="O12" s="58">
        <f t="shared" si="4"/>
        <v>9973</v>
      </c>
      <c r="P12" s="58">
        <f t="shared" si="5"/>
        <v>831</v>
      </c>
    </row>
    <row r="13" spans="2:16" x14ac:dyDescent="0.2">
      <c r="B13" s="36">
        <v>29</v>
      </c>
      <c r="C13" s="58">
        <v>533</v>
      </c>
      <c r="D13" s="58">
        <v>521</v>
      </c>
      <c r="E13" s="58">
        <v>529</v>
      </c>
      <c r="F13" s="58">
        <v>564</v>
      </c>
      <c r="G13" s="58">
        <v>629</v>
      </c>
      <c r="H13" s="58">
        <v>665</v>
      </c>
      <c r="I13" s="58">
        <v>687</v>
      </c>
      <c r="J13" s="58">
        <v>695</v>
      </c>
      <c r="K13" s="58">
        <v>683</v>
      </c>
      <c r="L13" s="58">
        <v>633</v>
      </c>
      <c r="M13" s="58">
        <v>554</v>
      </c>
      <c r="N13" s="58">
        <v>539</v>
      </c>
      <c r="O13" s="58">
        <f t="shared" si="4"/>
        <v>7232</v>
      </c>
      <c r="P13" s="58">
        <f t="shared" si="5"/>
        <v>603</v>
      </c>
    </row>
    <row r="14" spans="2:16" x14ac:dyDescent="0.2">
      <c r="B14" s="36" t="s">
        <v>47</v>
      </c>
      <c r="C14" s="58">
        <v>482</v>
      </c>
      <c r="D14" s="58">
        <v>480</v>
      </c>
      <c r="E14" s="58">
        <v>481</v>
      </c>
      <c r="F14" s="58">
        <v>483</v>
      </c>
      <c r="G14" s="58">
        <v>482</v>
      </c>
      <c r="H14" s="58">
        <v>483</v>
      </c>
      <c r="I14" s="58">
        <v>483</v>
      </c>
      <c r="J14" s="58">
        <v>482</v>
      </c>
      <c r="K14" s="58">
        <v>481</v>
      </c>
      <c r="L14" s="58">
        <v>482</v>
      </c>
      <c r="M14" s="58">
        <v>482</v>
      </c>
      <c r="N14" s="58">
        <v>481</v>
      </c>
      <c r="O14" s="58">
        <f t="shared" si="4"/>
        <v>5782</v>
      </c>
      <c r="P14" s="58">
        <f t="shared" si="5"/>
        <v>482</v>
      </c>
    </row>
    <row r="15" spans="2:16" x14ac:dyDescent="0.2">
      <c r="B15" s="36">
        <v>35</v>
      </c>
      <c r="C15" s="58">
        <v>1</v>
      </c>
      <c r="D15" s="58">
        <v>1</v>
      </c>
      <c r="E15" s="58">
        <v>1</v>
      </c>
      <c r="F15" s="58">
        <v>1</v>
      </c>
      <c r="G15" s="58">
        <v>2</v>
      </c>
      <c r="H15" s="58">
        <v>2</v>
      </c>
      <c r="I15" s="58">
        <v>2</v>
      </c>
      <c r="J15" s="58">
        <v>2</v>
      </c>
      <c r="K15" s="58">
        <v>2</v>
      </c>
      <c r="L15" s="58">
        <v>2</v>
      </c>
      <c r="M15" s="58">
        <v>2</v>
      </c>
      <c r="N15" s="58">
        <v>2</v>
      </c>
      <c r="O15" s="58">
        <f t="shared" si="4"/>
        <v>20</v>
      </c>
      <c r="P15" s="58">
        <f t="shared" si="5"/>
        <v>2</v>
      </c>
    </row>
    <row r="16" spans="2:16" x14ac:dyDescent="0.2">
      <c r="B16" s="36" t="s">
        <v>112</v>
      </c>
      <c r="C16" s="58">
        <v>130</v>
      </c>
      <c r="D16" s="58">
        <v>128</v>
      </c>
      <c r="E16" s="58">
        <v>128</v>
      </c>
      <c r="F16" s="58">
        <v>128</v>
      </c>
      <c r="G16" s="58">
        <v>128</v>
      </c>
      <c r="H16" s="58">
        <v>128</v>
      </c>
      <c r="I16" s="58">
        <v>129</v>
      </c>
      <c r="J16" s="58">
        <v>129</v>
      </c>
      <c r="K16" s="58">
        <v>129</v>
      </c>
      <c r="L16" s="58">
        <v>129</v>
      </c>
      <c r="M16" s="58">
        <v>129</v>
      </c>
      <c r="N16" s="58">
        <v>127</v>
      </c>
      <c r="O16" s="58">
        <f t="shared" si="4"/>
        <v>1542</v>
      </c>
      <c r="P16" s="58">
        <f t="shared" si="5"/>
        <v>129</v>
      </c>
    </row>
    <row r="17" spans="2:16" x14ac:dyDescent="0.2">
      <c r="B17" s="36">
        <v>43</v>
      </c>
      <c r="C17" s="58">
        <v>157</v>
      </c>
      <c r="D17" s="58">
        <v>156</v>
      </c>
      <c r="E17" s="58">
        <v>156</v>
      </c>
      <c r="F17" s="58">
        <v>155</v>
      </c>
      <c r="G17" s="58">
        <v>155</v>
      </c>
      <c r="H17" s="58">
        <v>155</v>
      </c>
      <c r="I17" s="58">
        <v>155</v>
      </c>
      <c r="J17" s="58">
        <v>154</v>
      </c>
      <c r="K17" s="58">
        <v>154</v>
      </c>
      <c r="L17" s="58">
        <v>153</v>
      </c>
      <c r="M17" s="58">
        <v>153</v>
      </c>
      <c r="N17" s="58">
        <v>153</v>
      </c>
      <c r="O17" s="58">
        <f t="shared" si="4"/>
        <v>1856</v>
      </c>
      <c r="P17" s="58">
        <f t="shared" si="5"/>
        <v>155</v>
      </c>
    </row>
    <row r="18" spans="2:16" x14ac:dyDescent="0.2">
      <c r="B18" s="36">
        <v>46</v>
      </c>
      <c r="C18" s="58">
        <v>6</v>
      </c>
      <c r="D18" s="58">
        <v>6</v>
      </c>
      <c r="E18" s="58">
        <v>6</v>
      </c>
      <c r="F18" s="58">
        <v>6</v>
      </c>
      <c r="G18" s="58">
        <v>6</v>
      </c>
      <c r="H18" s="58">
        <v>6</v>
      </c>
      <c r="I18" s="58">
        <v>6</v>
      </c>
      <c r="J18" s="58">
        <v>6</v>
      </c>
      <c r="K18" s="58">
        <v>6</v>
      </c>
      <c r="L18" s="58">
        <v>6</v>
      </c>
      <c r="M18" s="58">
        <v>6</v>
      </c>
      <c r="N18" s="58">
        <v>6</v>
      </c>
      <c r="O18" s="58">
        <f t="shared" si="4"/>
        <v>72</v>
      </c>
      <c r="P18" s="58">
        <f t="shared" si="5"/>
        <v>6</v>
      </c>
    </row>
    <row r="19" spans="2:16" x14ac:dyDescent="0.2">
      <c r="B19" s="36">
        <v>49</v>
      </c>
      <c r="C19" s="58">
        <v>19</v>
      </c>
      <c r="D19" s="58">
        <v>19</v>
      </c>
      <c r="E19" s="58">
        <v>19</v>
      </c>
      <c r="F19" s="58">
        <v>19</v>
      </c>
      <c r="G19" s="58">
        <v>19</v>
      </c>
      <c r="H19" s="58">
        <v>19</v>
      </c>
      <c r="I19" s="58">
        <v>19</v>
      </c>
      <c r="J19" s="58">
        <v>19</v>
      </c>
      <c r="K19" s="58">
        <v>19</v>
      </c>
      <c r="L19" s="58">
        <v>19</v>
      </c>
      <c r="M19" s="58">
        <v>19</v>
      </c>
      <c r="N19" s="58">
        <v>19</v>
      </c>
      <c r="O19" s="58">
        <f t="shared" si="4"/>
        <v>228</v>
      </c>
      <c r="P19" s="58">
        <f t="shared" si="5"/>
        <v>19</v>
      </c>
    </row>
    <row r="20" spans="2:16" x14ac:dyDescent="0.2">
      <c r="B20" s="36">
        <v>449</v>
      </c>
      <c r="C20" s="58">
        <v>13</v>
      </c>
      <c r="D20" s="58">
        <v>13</v>
      </c>
      <c r="E20" s="58">
        <v>13</v>
      </c>
      <c r="F20" s="58">
        <v>13</v>
      </c>
      <c r="G20" s="58">
        <v>13</v>
      </c>
      <c r="H20" s="58">
        <v>13</v>
      </c>
      <c r="I20" s="58">
        <v>13</v>
      </c>
      <c r="J20" s="58">
        <v>13</v>
      </c>
      <c r="K20" s="58">
        <v>13</v>
      </c>
      <c r="L20" s="58">
        <v>13</v>
      </c>
      <c r="M20" s="58">
        <v>13</v>
      </c>
      <c r="N20" s="58">
        <v>13</v>
      </c>
      <c r="O20" s="58">
        <f t="shared" si="4"/>
        <v>156</v>
      </c>
      <c r="P20" s="58">
        <f t="shared" si="5"/>
        <v>13</v>
      </c>
    </row>
    <row r="21" spans="2:16" x14ac:dyDescent="0.2">
      <c r="B21" s="59">
        <v>459</v>
      </c>
      <c r="C21" s="58">
        <v>3</v>
      </c>
      <c r="D21" s="58">
        <v>3</v>
      </c>
      <c r="E21" s="58">
        <v>3</v>
      </c>
      <c r="F21" s="58">
        <v>3</v>
      </c>
      <c r="G21" s="58">
        <v>3</v>
      </c>
      <c r="H21" s="58">
        <v>3</v>
      </c>
      <c r="I21" s="58">
        <v>3</v>
      </c>
      <c r="J21" s="58">
        <v>3</v>
      </c>
      <c r="K21" s="58">
        <v>3</v>
      </c>
      <c r="L21" s="58">
        <v>3</v>
      </c>
      <c r="M21" s="58">
        <v>3</v>
      </c>
      <c r="N21" s="58">
        <v>3</v>
      </c>
      <c r="O21" s="58">
        <f t="shared" si="4"/>
        <v>36</v>
      </c>
      <c r="P21" s="58">
        <f t="shared" si="5"/>
        <v>3</v>
      </c>
    </row>
    <row r="22" spans="2:16" x14ac:dyDescent="0.2">
      <c r="B22" s="19" t="s">
        <v>39</v>
      </c>
      <c r="C22" s="58">
        <v>7687</v>
      </c>
      <c r="D22" s="58">
        <v>7710</v>
      </c>
      <c r="E22" s="58">
        <v>7731</v>
      </c>
      <c r="F22" s="58">
        <v>7766</v>
      </c>
      <c r="G22" s="58">
        <v>7803</v>
      </c>
      <c r="H22" s="58">
        <v>7849</v>
      </c>
      <c r="I22" s="58">
        <v>7853</v>
      </c>
      <c r="J22" s="58">
        <v>7868</v>
      </c>
      <c r="K22" s="58">
        <v>7882</v>
      </c>
      <c r="L22" s="58">
        <v>7904</v>
      </c>
      <c r="M22" s="58">
        <v>7923</v>
      </c>
      <c r="N22" s="58">
        <v>7962</v>
      </c>
      <c r="O22" s="58">
        <f t="shared" si="4"/>
        <v>93938</v>
      </c>
      <c r="P22" s="58">
        <f t="shared" si="5"/>
        <v>7828</v>
      </c>
    </row>
    <row r="23" spans="2:16" x14ac:dyDescent="0.2">
      <c r="B23" s="19" t="s">
        <v>40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f t="shared" si="4"/>
        <v>0</v>
      </c>
      <c r="P23" s="60">
        <f t="shared" si="5"/>
        <v>0</v>
      </c>
    </row>
    <row r="24" spans="2:16" x14ac:dyDescent="0.2">
      <c r="B24" s="19" t="s">
        <v>18</v>
      </c>
      <c r="C24" s="15">
        <f t="shared" ref="C24:P24" si="6">SUM(C6:C23)</f>
        <v>1143142</v>
      </c>
      <c r="D24" s="15">
        <f t="shared" si="6"/>
        <v>1144567</v>
      </c>
      <c r="E24" s="15">
        <f t="shared" si="6"/>
        <v>1145500</v>
      </c>
      <c r="F24" s="15">
        <f t="shared" si="6"/>
        <v>1146360</v>
      </c>
      <c r="G24" s="15">
        <f t="shared" si="6"/>
        <v>1147691</v>
      </c>
      <c r="H24" s="15">
        <f t="shared" si="6"/>
        <v>1149059</v>
      </c>
      <c r="I24" s="15">
        <f t="shared" si="6"/>
        <v>1149589</v>
      </c>
      <c r="J24" s="15">
        <f t="shared" si="6"/>
        <v>1150817</v>
      </c>
      <c r="K24" s="15">
        <f t="shared" si="6"/>
        <v>1152702</v>
      </c>
      <c r="L24" s="15">
        <f t="shared" si="6"/>
        <v>1154232</v>
      </c>
      <c r="M24" s="15">
        <f t="shared" si="6"/>
        <v>1156316</v>
      </c>
      <c r="N24" s="15">
        <f t="shared" si="6"/>
        <v>1157496</v>
      </c>
      <c r="O24" s="15">
        <f t="shared" si="6"/>
        <v>13797471</v>
      </c>
      <c r="P24" s="15">
        <f t="shared" si="6"/>
        <v>1149791</v>
      </c>
    </row>
    <row r="25" spans="2:16" x14ac:dyDescent="0.2">
      <c r="P25" s="15"/>
    </row>
    <row r="26" spans="2:16" x14ac:dyDescent="0.2">
      <c r="B26" s="37" t="s">
        <v>113</v>
      </c>
      <c r="O26" s="58"/>
      <c r="P26" s="58"/>
    </row>
    <row r="27" spans="2:16" x14ac:dyDescent="0.2">
      <c r="B27" s="19" t="s">
        <v>235</v>
      </c>
      <c r="C27" s="61">
        <v>8</v>
      </c>
      <c r="D27" s="61">
        <v>8</v>
      </c>
      <c r="E27" s="61">
        <v>8</v>
      </c>
      <c r="F27" s="61">
        <v>8</v>
      </c>
      <c r="G27" s="61">
        <v>8</v>
      </c>
      <c r="H27" s="61">
        <v>8</v>
      </c>
      <c r="I27" s="61">
        <v>8</v>
      </c>
      <c r="J27" s="61">
        <v>8</v>
      </c>
      <c r="K27" s="61">
        <v>8</v>
      </c>
      <c r="L27" s="61">
        <v>8</v>
      </c>
      <c r="M27" s="61">
        <v>8</v>
      </c>
      <c r="N27" s="61">
        <v>8</v>
      </c>
      <c r="O27" s="58">
        <f t="shared" ref="O27:O31" si="7">SUM(C27:N27)</f>
        <v>96</v>
      </c>
      <c r="P27" s="58">
        <f t="shared" ref="P27:P32" si="8">ROUND(O27/12,0)</f>
        <v>8</v>
      </c>
    </row>
    <row r="28" spans="2:16" x14ac:dyDescent="0.2">
      <c r="B28" s="19" t="s">
        <v>236</v>
      </c>
      <c r="C28" s="61">
        <v>12</v>
      </c>
      <c r="D28" s="61">
        <v>12</v>
      </c>
      <c r="E28" s="61">
        <v>12</v>
      </c>
      <c r="F28" s="61">
        <v>12</v>
      </c>
      <c r="G28" s="61">
        <v>12</v>
      </c>
      <c r="H28" s="61">
        <v>12</v>
      </c>
      <c r="I28" s="61">
        <v>12</v>
      </c>
      <c r="J28" s="61">
        <v>12</v>
      </c>
      <c r="K28" s="61">
        <v>12</v>
      </c>
      <c r="L28" s="61">
        <v>12</v>
      </c>
      <c r="M28" s="61">
        <v>12</v>
      </c>
      <c r="N28" s="61">
        <v>12</v>
      </c>
      <c r="O28" s="58">
        <f t="shared" si="7"/>
        <v>144</v>
      </c>
      <c r="P28" s="58">
        <f t="shared" si="8"/>
        <v>12</v>
      </c>
    </row>
    <row r="29" spans="2:16" x14ac:dyDescent="0.2">
      <c r="B29" s="19" t="s">
        <v>237</v>
      </c>
      <c r="C29" s="61">
        <v>10</v>
      </c>
      <c r="D29" s="61">
        <v>10</v>
      </c>
      <c r="E29" s="61">
        <v>10</v>
      </c>
      <c r="F29" s="61">
        <v>10</v>
      </c>
      <c r="G29" s="61">
        <v>10</v>
      </c>
      <c r="H29" s="61">
        <v>10</v>
      </c>
      <c r="I29" s="61">
        <v>10</v>
      </c>
      <c r="J29" s="61">
        <v>10</v>
      </c>
      <c r="K29" s="61">
        <v>10</v>
      </c>
      <c r="L29" s="61">
        <v>10</v>
      </c>
      <c r="M29" s="61">
        <v>10</v>
      </c>
      <c r="N29" s="61">
        <v>10</v>
      </c>
      <c r="O29" s="58">
        <f t="shared" si="7"/>
        <v>120</v>
      </c>
      <c r="P29" s="58">
        <f t="shared" si="8"/>
        <v>10</v>
      </c>
    </row>
    <row r="30" spans="2:16" x14ac:dyDescent="0.2">
      <c r="B30" s="19" t="s">
        <v>238</v>
      </c>
      <c r="C30" s="61">
        <v>3</v>
      </c>
      <c r="D30" s="61">
        <v>3</v>
      </c>
      <c r="E30" s="61">
        <v>3</v>
      </c>
      <c r="F30" s="61">
        <v>3</v>
      </c>
      <c r="G30" s="61">
        <v>3</v>
      </c>
      <c r="H30" s="61">
        <v>3</v>
      </c>
      <c r="I30" s="61">
        <v>3</v>
      </c>
      <c r="J30" s="61">
        <v>3</v>
      </c>
      <c r="K30" s="61">
        <v>3</v>
      </c>
      <c r="L30" s="61">
        <v>3</v>
      </c>
      <c r="M30" s="61">
        <v>3</v>
      </c>
      <c r="N30" s="61">
        <v>3</v>
      </c>
      <c r="O30" s="58">
        <f t="shared" si="7"/>
        <v>36</v>
      </c>
      <c r="P30" s="58">
        <f t="shared" si="8"/>
        <v>3</v>
      </c>
    </row>
    <row r="31" spans="2:16" x14ac:dyDescent="0.2">
      <c r="B31" s="19" t="s">
        <v>239</v>
      </c>
      <c r="C31" s="61">
        <v>2</v>
      </c>
      <c r="D31" s="61">
        <v>2</v>
      </c>
      <c r="E31" s="61">
        <v>2</v>
      </c>
      <c r="F31" s="61">
        <v>2</v>
      </c>
      <c r="G31" s="61">
        <v>2</v>
      </c>
      <c r="H31" s="61">
        <v>2</v>
      </c>
      <c r="I31" s="61">
        <v>2</v>
      </c>
      <c r="J31" s="61">
        <v>2</v>
      </c>
      <c r="K31" s="61">
        <v>2</v>
      </c>
      <c r="L31" s="61">
        <v>2</v>
      </c>
      <c r="M31" s="61">
        <v>2</v>
      </c>
      <c r="N31" s="61">
        <v>2</v>
      </c>
      <c r="O31" s="58">
        <f t="shared" si="7"/>
        <v>24</v>
      </c>
      <c r="P31" s="58">
        <f t="shared" si="8"/>
        <v>2</v>
      </c>
    </row>
    <row r="32" spans="2:16" x14ac:dyDescent="0.2">
      <c r="B32" s="19" t="s">
        <v>111</v>
      </c>
      <c r="C32" s="19">
        <v>95</v>
      </c>
      <c r="D32" s="19">
        <v>93</v>
      </c>
      <c r="E32" s="19">
        <v>93</v>
      </c>
      <c r="F32" s="19">
        <v>93</v>
      </c>
      <c r="G32" s="19">
        <v>93</v>
      </c>
      <c r="H32" s="19">
        <v>93</v>
      </c>
      <c r="I32" s="19">
        <v>94</v>
      </c>
      <c r="J32" s="19">
        <v>94</v>
      </c>
      <c r="K32" s="19">
        <v>94</v>
      </c>
      <c r="L32" s="19">
        <v>94</v>
      </c>
      <c r="M32" s="19">
        <v>94</v>
      </c>
      <c r="N32" s="19">
        <v>92</v>
      </c>
      <c r="O32" s="58">
        <f t="shared" ref="O32" si="9">SUM(C32:N32)</f>
        <v>1122</v>
      </c>
      <c r="P32" s="58">
        <f t="shared" si="8"/>
        <v>94</v>
      </c>
    </row>
    <row r="33" spans="2:16" x14ac:dyDescent="0.2">
      <c r="B33" s="62" t="s">
        <v>114</v>
      </c>
      <c r="C33" s="57">
        <f t="shared" ref="C33:N33" si="10">SUM(C27:C32)</f>
        <v>130</v>
      </c>
      <c r="D33" s="57">
        <f t="shared" si="10"/>
        <v>128</v>
      </c>
      <c r="E33" s="57">
        <f t="shared" si="10"/>
        <v>128</v>
      </c>
      <c r="F33" s="57">
        <f t="shared" si="10"/>
        <v>128</v>
      </c>
      <c r="G33" s="57">
        <f t="shared" si="10"/>
        <v>128</v>
      </c>
      <c r="H33" s="57">
        <f t="shared" si="10"/>
        <v>128</v>
      </c>
      <c r="I33" s="57">
        <f t="shared" si="10"/>
        <v>129</v>
      </c>
      <c r="J33" s="57">
        <f t="shared" si="10"/>
        <v>129</v>
      </c>
      <c r="K33" s="57">
        <f t="shared" si="10"/>
        <v>129</v>
      </c>
      <c r="L33" s="57">
        <f t="shared" si="10"/>
        <v>129</v>
      </c>
      <c r="M33" s="57">
        <f t="shared" si="10"/>
        <v>129</v>
      </c>
      <c r="N33" s="57">
        <f t="shared" si="10"/>
        <v>127</v>
      </c>
      <c r="O33" s="57">
        <f>SUM(O27:O32)</f>
        <v>1542</v>
      </c>
      <c r="P33" s="57">
        <f>SUM(P27:P32)</f>
        <v>129</v>
      </c>
    </row>
    <row r="34" spans="2:16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</sheetData>
  <mergeCells count="3">
    <mergeCell ref="B1:P1"/>
    <mergeCell ref="B2:P2"/>
    <mergeCell ref="B3:P3"/>
  </mergeCells>
  <pageMargins left="0.7" right="0.7" top="0.75" bottom="0.75" header="0.3" footer="0.3"/>
  <pageSetup scale="80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G31" sqref="G31"/>
    </sheetView>
  </sheetViews>
  <sheetFormatPr defaultRowHeight="11.25" x14ac:dyDescent="0.2"/>
  <cols>
    <col min="1" max="1" width="4" style="190" bestFit="1" customWidth="1"/>
    <col min="2" max="2" width="29.28515625" style="190" bestFit="1" customWidth="1"/>
    <col min="3" max="3" width="13" style="190" bestFit="1" customWidth="1"/>
    <col min="4" max="4" width="1" style="190" customWidth="1"/>
    <col min="5" max="5" width="13.28515625" style="190" bestFit="1" customWidth="1"/>
    <col min="6" max="6" width="12" style="190" bestFit="1" customWidth="1"/>
    <col min="7" max="8" width="15.140625" style="190" bestFit="1" customWidth="1"/>
    <col min="9" max="9" width="13.42578125" style="190" bestFit="1" customWidth="1"/>
    <col min="10" max="10" width="11.28515625" style="190" bestFit="1" customWidth="1"/>
    <col min="11" max="11" width="10.7109375" style="190" bestFit="1" customWidth="1"/>
    <col min="12" max="12" width="9.85546875" style="190" bestFit="1" customWidth="1"/>
    <col min="13" max="13" width="11.42578125" style="190" bestFit="1" customWidth="1"/>
    <col min="14" max="16" width="10.7109375" style="190" bestFit="1" customWidth="1"/>
    <col min="17" max="255" width="9.140625" style="190"/>
    <col min="256" max="256" width="5.28515625" style="190" customWidth="1"/>
    <col min="257" max="257" width="37.28515625" style="190" bestFit="1" customWidth="1"/>
    <col min="258" max="258" width="15.28515625" style="190" customWidth="1"/>
    <col min="259" max="259" width="3.28515625" style="190" customWidth="1"/>
    <col min="260" max="262" width="15.28515625" style="190" customWidth="1"/>
    <col min="263" max="263" width="14" style="190" customWidth="1"/>
    <col min="264" max="264" width="14.28515625" style="190" customWidth="1"/>
    <col min="265" max="265" width="11.85546875" style="190" customWidth="1"/>
    <col min="266" max="266" width="14.42578125" style="190" customWidth="1"/>
    <col min="267" max="267" width="12.5703125" style="190" customWidth="1"/>
    <col min="268" max="270" width="15.28515625" style="190" customWidth="1"/>
    <col min="271" max="271" width="12.42578125" style="190" customWidth="1"/>
    <col min="272" max="272" width="15.28515625" style="190" customWidth="1"/>
    <col min="273" max="511" width="9.140625" style="190"/>
    <col min="512" max="512" width="5.28515625" style="190" customWidth="1"/>
    <col min="513" max="513" width="37.28515625" style="190" bestFit="1" customWidth="1"/>
    <col min="514" max="514" width="15.28515625" style="190" customWidth="1"/>
    <col min="515" max="515" width="3.28515625" style="190" customWidth="1"/>
    <col min="516" max="518" width="15.28515625" style="190" customWidth="1"/>
    <col min="519" max="519" width="14" style="190" customWidth="1"/>
    <col min="520" max="520" width="14.28515625" style="190" customWidth="1"/>
    <col min="521" max="521" width="11.85546875" style="190" customWidth="1"/>
    <col min="522" max="522" width="14.42578125" style="190" customWidth="1"/>
    <col min="523" max="523" width="12.5703125" style="190" customWidth="1"/>
    <col min="524" max="526" width="15.28515625" style="190" customWidth="1"/>
    <col min="527" max="527" width="12.42578125" style="190" customWidth="1"/>
    <col min="528" max="528" width="15.28515625" style="190" customWidth="1"/>
    <col min="529" max="767" width="9.140625" style="190"/>
    <col min="768" max="768" width="5.28515625" style="190" customWidth="1"/>
    <col min="769" max="769" width="37.28515625" style="190" bestFit="1" customWidth="1"/>
    <col min="770" max="770" width="15.28515625" style="190" customWidth="1"/>
    <col min="771" max="771" width="3.28515625" style="190" customWidth="1"/>
    <col min="772" max="774" width="15.28515625" style="190" customWidth="1"/>
    <col min="775" max="775" width="14" style="190" customWidth="1"/>
    <col min="776" max="776" width="14.28515625" style="190" customWidth="1"/>
    <col min="777" max="777" width="11.85546875" style="190" customWidth="1"/>
    <col min="778" max="778" width="14.42578125" style="190" customWidth="1"/>
    <col min="779" max="779" width="12.5703125" style="190" customWidth="1"/>
    <col min="780" max="782" width="15.28515625" style="190" customWidth="1"/>
    <col min="783" max="783" width="12.42578125" style="190" customWidth="1"/>
    <col min="784" max="784" width="15.28515625" style="190" customWidth="1"/>
    <col min="785" max="1023" width="9.140625" style="190"/>
    <col min="1024" max="1024" width="5.28515625" style="190" customWidth="1"/>
    <col min="1025" max="1025" width="37.28515625" style="190" bestFit="1" customWidth="1"/>
    <col min="1026" max="1026" width="15.28515625" style="190" customWidth="1"/>
    <col min="1027" max="1027" width="3.28515625" style="190" customWidth="1"/>
    <col min="1028" max="1030" width="15.28515625" style="190" customWidth="1"/>
    <col min="1031" max="1031" width="14" style="190" customWidth="1"/>
    <col min="1032" max="1032" width="14.28515625" style="190" customWidth="1"/>
    <col min="1033" max="1033" width="11.85546875" style="190" customWidth="1"/>
    <col min="1034" max="1034" width="14.42578125" style="190" customWidth="1"/>
    <col min="1035" max="1035" width="12.5703125" style="190" customWidth="1"/>
    <col min="1036" max="1038" width="15.28515625" style="190" customWidth="1"/>
    <col min="1039" max="1039" width="12.42578125" style="190" customWidth="1"/>
    <col min="1040" max="1040" width="15.28515625" style="190" customWidth="1"/>
    <col min="1041" max="1279" width="9.140625" style="190"/>
    <col min="1280" max="1280" width="5.28515625" style="190" customWidth="1"/>
    <col min="1281" max="1281" width="37.28515625" style="190" bestFit="1" customWidth="1"/>
    <col min="1282" max="1282" width="15.28515625" style="190" customWidth="1"/>
    <col min="1283" max="1283" width="3.28515625" style="190" customWidth="1"/>
    <col min="1284" max="1286" width="15.28515625" style="190" customWidth="1"/>
    <col min="1287" max="1287" width="14" style="190" customWidth="1"/>
    <col min="1288" max="1288" width="14.28515625" style="190" customWidth="1"/>
    <col min="1289" max="1289" width="11.85546875" style="190" customWidth="1"/>
    <col min="1290" max="1290" width="14.42578125" style="190" customWidth="1"/>
    <col min="1291" max="1291" width="12.5703125" style="190" customWidth="1"/>
    <col min="1292" max="1294" width="15.28515625" style="190" customWidth="1"/>
    <col min="1295" max="1295" width="12.42578125" style="190" customWidth="1"/>
    <col min="1296" max="1296" width="15.28515625" style="190" customWidth="1"/>
    <col min="1297" max="1535" width="9.140625" style="190"/>
    <col min="1536" max="1536" width="5.28515625" style="190" customWidth="1"/>
    <col min="1537" max="1537" width="37.28515625" style="190" bestFit="1" customWidth="1"/>
    <col min="1538" max="1538" width="15.28515625" style="190" customWidth="1"/>
    <col min="1539" max="1539" width="3.28515625" style="190" customWidth="1"/>
    <col min="1540" max="1542" width="15.28515625" style="190" customWidth="1"/>
    <col min="1543" max="1543" width="14" style="190" customWidth="1"/>
    <col min="1544" max="1544" width="14.28515625" style="190" customWidth="1"/>
    <col min="1545" max="1545" width="11.85546875" style="190" customWidth="1"/>
    <col min="1546" max="1546" width="14.42578125" style="190" customWidth="1"/>
    <col min="1547" max="1547" width="12.5703125" style="190" customWidth="1"/>
    <col min="1548" max="1550" width="15.28515625" style="190" customWidth="1"/>
    <col min="1551" max="1551" width="12.42578125" style="190" customWidth="1"/>
    <col min="1552" max="1552" width="15.28515625" style="190" customWidth="1"/>
    <col min="1553" max="1791" width="9.140625" style="190"/>
    <col min="1792" max="1792" width="5.28515625" style="190" customWidth="1"/>
    <col min="1793" max="1793" width="37.28515625" style="190" bestFit="1" customWidth="1"/>
    <col min="1794" max="1794" width="15.28515625" style="190" customWidth="1"/>
    <col min="1795" max="1795" width="3.28515625" style="190" customWidth="1"/>
    <col min="1796" max="1798" width="15.28515625" style="190" customWidth="1"/>
    <col min="1799" max="1799" width="14" style="190" customWidth="1"/>
    <col min="1800" max="1800" width="14.28515625" style="190" customWidth="1"/>
    <col min="1801" max="1801" width="11.85546875" style="190" customWidth="1"/>
    <col min="1802" max="1802" width="14.42578125" style="190" customWidth="1"/>
    <col min="1803" max="1803" width="12.5703125" style="190" customWidth="1"/>
    <col min="1804" max="1806" width="15.28515625" style="190" customWidth="1"/>
    <col min="1807" max="1807" width="12.42578125" style="190" customWidth="1"/>
    <col min="1808" max="1808" width="15.28515625" style="190" customWidth="1"/>
    <col min="1809" max="2047" width="9.140625" style="190"/>
    <col min="2048" max="2048" width="5.28515625" style="190" customWidth="1"/>
    <col min="2049" max="2049" width="37.28515625" style="190" bestFit="1" customWidth="1"/>
    <col min="2050" max="2050" width="15.28515625" style="190" customWidth="1"/>
    <col min="2051" max="2051" width="3.28515625" style="190" customWidth="1"/>
    <col min="2052" max="2054" width="15.28515625" style="190" customWidth="1"/>
    <col min="2055" max="2055" width="14" style="190" customWidth="1"/>
    <col min="2056" max="2056" width="14.28515625" style="190" customWidth="1"/>
    <col min="2057" max="2057" width="11.85546875" style="190" customWidth="1"/>
    <col min="2058" max="2058" width="14.42578125" style="190" customWidth="1"/>
    <col min="2059" max="2059" width="12.5703125" style="190" customWidth="1"/>
    <col min="2060" max="2062" width="15.28515625" style="190" customWidth="1"/>
    <col min="2063" max="2063" width="12.42578125" style="190" customWidth="1"/>
    <col min="2064" max="2064" width="15.28515625" style="190" customWidth="1"/>
    <col min="2065" max="2303" width="9.140625" style="190"/>
    <col min="2304" max="2304" width="5.28515625" style="190" customWidth="1"/>
    <col min="2305" max="2305" width="37.28515625" style="190" bestFit="1" customWidth="1"/>
    <col min="2306" max="2306" width="15.28515625" style="190" customWidth="1"/>
    <col min="2307" max="2307" width="3.28515625" style="190" customWidth="1"/>
    <col min="2308" max="2310" width="15.28515625" style="190" customWidth="1"/>
    <col min="2311" max="2311" width="14" style="190" customWidth="1"/>
    <col min="2312" max="2312" width="14.28515625" style="190" customWidth="1"/>
    <col min="2313" max="2313" width="11.85546875" style="190" customWidth="1"/>
    <col min="2314" max="2314" width="14.42578125" style="190" customWidth="1"/>
    <col min="2315" max="2315" width="12.5703125" style="190" customWidth="1"/>
    <col min="2316" max="2318" width="15.28515625" style="190" customWidth="1"/>
    <col min="2319" max="2319" width="12.42578125" style="190" customWidth="1"/>
    <col min="2320" max="2320" width="15.28515625" style="190" customWidth="1"/>
    <col min="2321" max="2559" width="9.140625" style="190"/>
    <col min="2560" max="2560" width="5.28515625" style="190" customWidth="1"/>
    <col min="2561" max="2561" width="37.28515625" style="190" bestFit="1" customWidth="1"/>
    <col min="2562" max="2562" width="15.28515625" style="190" customWidth="1"/>
    <col min="2563" max="2563" width="3.28515625" style="190" customWidth="1"/>
    <col min="2564" max="2566" width="15.28515625" style="190" customWidth="1"/>
    <col min="2567" max="2567" width="14" style="190" customWidth="1"/>
    <col min="2568" max="2568" width="14.28515625" style="190" customWidth="1"/>
    <col min="2569" max="2569" width="11.85546875" style="190" customWidth="1"/>
    <col min="2570" max="2570" width="14.42578125" style="190" customWidth="1"/>
    <col min="2571" max="2571" width="12.5703125" style="190" customWidth="1"/>
    <col min="2572" max="2574" width="15.28515625" style="190" customWidth="1"/>
    <col min="2575" max="2575" width="12.42578125" style="190" customWidth="1"/>
    <col min="2576" max="2576" width="15.28515625" style="190" customWidth="1"/>
    <col min="2577" max="2815" width="9.140625" style="190"/>
    <col min="2816" max="2816" width="5.28515625" style="190" customWidth="1"/>
    <col min="2817" max="2817" width="37.28515625" style="190" bestFit="1" customWidth="1"/>
    <col min="2818" max="2818" width="15.28515625" style="190" customWidth="1"/>
    <col min="2819" max="2819" width="3.28515625" style="190" customWidth="1"/>
    <col min="2820" max="2822" width="15.28515625" style="190" customWidth="1"/>
    <col min="2823" max="2823" width="14" style="190" customWidth="1"/>
    <col min="2824" max="2824" width="14.28515625" style="190" customWidth="1"/>
    <col min="2825" max="2825" width="11.85546875" style="190" customWidth="1"/>
    <col min="2826" max="2826" width="14.42578125" style="190" customWidth="1"/>
    <col min="2827" max="2827" width="12.5703125" style="190" customWidth="1"/>
    <col min="2828" max="2830" width="15.28515625" style="190" customWidth="1"/>
    <col min="2831" max="2831" width="12.42578125" style="190" customWidth="1"/>
    <col min="2832" max="2832" width="15.28515625" style="190" customWidth="1"/>
    <col min="2833" max="3071" width="9.140625" style="190"/>
    <col min="3072" max="3072" width="5.28515625" style="190" customWidth="1"/>
    <col min="3073" max="3073" width="37.28515625" style="190" bestFit="1" customWidth="1"/>
    <col min="3074" max="3074" width="15.28515625" style="190" customWidth="1"/>
    <col min="3075" max="3075" width="3.28515625" style="190" customWidth="1"/>
    <col min="3076" max="3078" width="15.28515625" style="190" customWidth="1"/>
    <col min="3079" max="3079" width="14" style="190" customWidth="1"/>
    <col min="3080" max="3080" width="14.28515625" style="190" customWidth="1"/>
    <col min="3081" max="3081" width="11.85546875" style="190" customWidth="1"/>
    <col min="3082" max="3082" width="14.42578125" style="190" customWidth="1"/>
    <col min="3083" max="3083" width="12.5703125" style="190" customWidth="1"/>
    <col min="3084" max="3086" width="15.28515625" style="190" customWidth="1"/>
    <col min="3087" max="3087" width="12.42578125" style="190" customWidth="1"/>
    <col min="3088" max="3088" width="15.28515625" style="190" customWidth="1"/>
    <col min="3089" max="3327" width="9.140625" style="190"/>
    <col min="3328" max="3328" width="5.28515625" style="190" customWidth="1"/>
    <col min="3329" max="3329" width="37.28515625" style="190" bestFit="1" customWidth="1"/>
    <col min="3330" max="3330" width="15.28515625" style="190" customWidth="1"/>
    <col min="3331" max="3331" width="3.28515625" style="190" customWidth="1"/>
    <col min="3332" max="3334" width="15.28515625" style="190" customWidth="1"/>
    <col min="3335" max="3335" width="14" style="190" customWidth="1"/>
    <col min="3336" max="3336" width="14.28515625" style="190" customWidth="1"/>
    <col min="3337" max="3337" width="11.85546875" style="190" customWidth="1"/>
    <col min="3338" max="3338" width="14.42578125" style="190" customWidth="1"/>
    <col min="3339" max="3339" width="12.5703125" style="190" customWidth="1"/>
    <col min="3340" max="3342" width="15.28515625" style="190" customWidth="1"/>
    <col min="3343" max="3343" width="12.42578125" style="190" customWidth="1"/>
    <col min="3344" max="3344" width="15.28515625" style="190" customWidth="1"/>
    <col min="3345" max="3583" width="9.140625" style="190"/>
    <col min="3584" max="3584" width="5.28515625" style="190" customWidth="1"/>
    <col min="3585" max="3585" width="37.28515625" style="190" bestFit="1" customWidth="1"/>
    <col min="3586" max="3586" width="15.28515625" style="190" customWidth="1"/>
    <col min="3587" max="3587" width="3.28515625" style="190" customWidth="1"/>
    <col min="3588" max="3590" width="15.28515625" style="190" customWidth="1"/>
    <col min="3591" max="3591" width="14" style="190" customWidth="1"/>
    <col min="3592" max="3592" width="14.28515625" style="190" customWidth="1"/>
    <col min="3593" max="3593" width="11.85546875" style="190" customWidth="1"/>
    <col min="3594" max="3594" width="14.42578125" style="190" customWidth="1"/>
    <col min="3595" max="3595" width="12.5703125" style="190" customWidth="1"/>
    <col min="3596" max="3598" width="15.28515625" style="190" customWidth="1"/>
    <col min="3599" max="3599" width="12.42578125" style="190" customWidth="1"/>
    <col min="3600" max="3600" width="15.28515625" style="190" customWidth="1"/>
    <col min="3601" max="3839" width="9.140625" style="190"/>
    <col min="3840" max="3840" width="5.28515625" style="190" customWidth="1"/>
    <col min="3841" max="3841" width="37.28515625" style="190" bestFit="1" customWidth="1"/>
    <col min="3842" max="3842" width="15.28515625" style="190" customWidth="1"/>
    <col min="3843" max="3843" width="3.28515625" style="190" customWidth="1"/>
    <col min="3844" max="3846" width="15.28515625" style="190" customWidth="1"/>
    <col min="3847" max="3847" width="14" style="190" customWidth="1"/>
    <col min="3848" max="3848" width="14.28515625" style="190" customWidth="1"/>
    <col min="3849" max="3849" width="11.85546875" style="190" customWidth="1"/>
    <col min="3850" max="3850" width="14.42578125" style="190" customWidth="1"/>
    <col min="3851" max="3851" width="12.5703125" style="190" customWidth="1"/>
    <col min="3852" max="3854" width="15.28515625" style="190" customWidth="1"/>
    <col min="3855" max="3855" width="12.42578125" style="190" customWidth="1"/>
    <col min="3856" max="3856" width="15.28515625" style="190" customWidth="1"/>
    <col min="3857" max="4095" width="9.140625" style="190"/>
    <col min="4096" max="4096" width="5.28515625" style="190" customWidth="1"/>
    <col min="4097" max="4097" width="37.28515625" style="190" bestFit="1" customWidth="1"/>
    <col min="4098" max="4098" width="15.28515625" style="190" customWidth="1"/>
    <col min="4099" max="4099" width="3.28515625" style="190" customWidth="1"/>
    <col min="4100" max="4102" width="15.28515625" style="190" customWidth="1"/>
    <col min="4103" max="4103" width="14" style="190" customWidth="1"/>
    <col min="4104" max="4104" width="14.28515625" style="190" customWidth="1"/>
    <col min="4105" max="4105" width="11.85546875" style="190" customWidth="1"/>
    <col min="4106" max="4106" width="14.42578125" style="190" customWidth="1"/>
    <col min="4107" max="4107" width="12.5703125" style="190" customWidth="1"/>
    <col min="4108" max="4110" width="15.28515625" style="190" customWidth="1"/>
    <col min="4111" max="4111" width="12.42578125" style="190" customWidth="1"/>
    <col min="4112" max="4112" width="15.28515625" style="190" customWidth="1"/>
    <col min="4113" max="4351" width="9.140625" style="190"/>
    <col min="4352" max="4352" width="5.28515625" style="190" customWidth="1"/>
    <col min="4353" max="4353" width="37.28515625" style="190" bestFit="1" customWidth="1"/>
    <col min="4354" max="4354" width="15.28515625" style="190" customWidth="1"/>
    <col min="4355" max="4355" width="3.28515625" style="190" customWidth="1"/>
    <col min="4356" max="4358" width="15.28515625" style="190" customWidth="1"/>
    <col min="4359" max="4359" width="14" style="190" customWidth="1"/>
    <col min="4360" max="4360" width="14.28515625" style="190" customWidth="1"/>
    <col min="4361" max="4361" width="11.85546875" style="190" customWidth="1"/>
    <col min="4362" max="4362" width="14.42578125" style="190" customWidth="1"/>
    <col min="4363" max="4363" width="12.5703125" style="190" customWidth="1"/>
    <col min="4364" max="4366" width="15.28515625" style="190" customWidth="1"/>
    <col min="4367" max="4367" width="12.42578125" style="190" customWidth="1"/>
    <col min="4368" max="4368" width="15.28515625" style="190" customWidth="1"/>
    <col min="4369" max="4607" width="9.140625" style="190"/>
    <col min="4608" max="4608" width="5.28515625" style="190" customWidth="1"/>
    <col min="4609" max="4609" width="37.28515625" style="190" bestFit="1" customWidth="1"/>
    <col min="4610" max="4610" width="15.28515625" style="190" customWidth="1"/>
    <col min="4611" max="4611" width="3.28515625" style="190" customWidth="1"/>
    <col min="4612" max="4614" width="15.28515625" style="190" customWidth="1"/>
    <col min="4615" max="4615" width="14" style="190" customWidth="1"/>
    <col min="4616" max="4616" width="14.28515625" style="190" customWidth="1"/>
    <col min="4617" max="4617" width="11.85546875" style="190" customWidth="1"/>
    <col min="4618" max="4618" width="14.42578125" style="190" customWidth="1"/>
    <col min="4619" max="4619" width="12.5703125" style="190" customWidth="1"/>
    <col min="4620" max="4622" width="15.28515625" style="190" customWidth="1"/>
    <col min="4623" max="4623" width="12.42578125" style="190" customWidth="1"/>
    <col min="4624" max="4624" width="15.28515625" style="190" customWidth="1"/>
    <col min="4625" max="4863" width="9.140625" style="190"/>
    <col min="4864" max="4864" width="5.28515625" style="190" customWidth="1"/>
    <col min="4865" max="4865" width="37.28515625" style="190" bestFit="1" customWidth="1"/>
    <col min="4866" max="4866" width="15.28515625" style="190" customWidth="1"/>
    <col min="4867" max="4867" width="3.28515625" style="190" customWidth="1"/>
    <col min="4868" max="4870" width="15.28515625" style="190" customWidth="1"/>
    <col min="4871" max="4871" width="14" style="190" customWidth="1"/>
    <col min="4872" max="4872" width="14.28515625" style="190" customWidth="1"/>
    <col min="4873" max="4873" width="11.85546875" style="190" customWidth="1"/>
    <col min="4874" max="4874" width="14.42578125" style="190" customWidth="1"/>
    <col min="4875" max="4875" width="12.5703125" style="190" customWidth="1"/>
    <col min="4876" max="4878" width="15.28515625" style="190" customWidth="1"/>
    <col min="4879" max="4879" width="12.42578125" style="190" customWidth="1"/>
    <col min="4880" max="4880" width="15.28515625" style="190" customWidth="1"/>
    <col min="4881" max="5119" width="9.140625" style="190"/>
    <col min="5120" max="5120" width="5.28515625" style="190" customWidth="1"/>
    <col min="5121" max="5121" width="37.28515625" style="190" bestFit="1" customWidth="1"/>
    <col min="5122" max="5122" width="15.28515625" style="190" customWidth="1"/>
    <col min="5123" max="5123" width="3.28515625" style="190" customWidth="1"/>
    <col min="5124" max="5126" width="15.28515625" style="190" customWidth="1"/>
    <col min="5127" max="5127" width="14" style="190" customWidth="1"/>
    <col min="5128" max="5128" width="14.28515625" style="190" customWidth="1"/>
    <col min="5129" max="5129" width="11.85546875" style="190" customWidth="1"/>
    <col min="5130" max="5130" width="14.42578125" style="190" customWidth="1"/>
    <col min="5131" max="5131" width="12.5703125" style="190" customWidth="1"/>
    <col min="5132" max="5134" width="15.28515625" style="190" customWidth="1"/>
    <col min="5135" max="5135" width="12.42578125" style="190" customWidth="1"/>
    <col min="5136" max="5136" width="15.28515625" style="190" customWidth="1"/>
    <col min="5137" max="5375" width="9.140625" style="190"/>
    <col min="5376" max="5376" width="5.28515625" style="190" customWidth="1"/>
    <col min="5377" max="5377" width="37.28515625" style="190" bestFit="1" customWidth="1"/>
    <col min="5378" max="5378" width="15.28515625" style="190" customWidth="1"/>
    <col min="5379" max="5379" width="3.28515625" style="190" customWidth="1"/>
    <col min="5380" max="5382" width="15.28515625" style="190" customWidth="1"/>
    <col min="5383" max="5383" width="14" style="190" customWidth="1"/>
    <col min="5384" max="5384" width="14.28515625" style="190" customWidth="1"/>
    <col min="5385" max="5385" width="11.85546875" style="190" customWidth="1"/>
    <col min="5386" max="5386" width="14.42578125" style="190" customWidth="1"/>
    <col min="5387" max="5387" width="12.5703125" style="190" customWidth="1"/>
    <col min="5388" max="5390" width="15.28515625" style="190" customWidth="1"/>
    <col min="5391" max="5391" width="12.42578125" style="190" customWidth="1"/>
    <col min="5392" max="5392" width="15.28515625" style="190" customWidth="1"/>
    <col min="5393" max="5631" width="9.140625" style="190"/>
    <col min="5632" max="5632" width="5.28515625" style="190" customWidth="1"/>
    <col min="5633" max="5633" width="37.28515625" style="190" bestFit="1" customWidth="1"/>
    <col min="5634" max="5634" width="15.28515625" style="190" customWidth="1"/>
    <col min="5635" max="5635" width="3.28515625" style="190" customWidth="1"/>
    <col min="5636" max="5638" width="15.28515625" style="190" customWidth="1"/>
    <col min="5639" max="5639" width="14" style="190" customWidth="1"/>
    <col min="5640" max="5640" width="14.28515625" style="190" customWidth="1"/>
    <col min="5641" max="5641" width="11.85546875" style="190" customWidth="1"/>
    <col min="5642" max="5642" width="14.42578125" style="190" customWidth="1"/>
    <col min="5643" max="5643" width="12.5703125" style="190" customWidth="1"/>
    <col min="5644" max="5646" width="15.28515625" style="190" customWidth="1"/>
    <col min="5647" max="5647" width="12.42578125" style="190" customWidth="1"/>
    <col min="5648" max="5648" width="15.28515625" style="190" customWidth="1"/>
    <col min="5649" max="5887" width="9.140625" style="190"/>
    <col min="5888" max="5888" width="5.28515625" style="190" customWidth="1"/>
    <col min="5889" max="5889" width="37.28515625" style="190" bestFit="1" customWidth="1"/>
    <col min="5890" max="5890" width="15.28515625" style="190" customWidth="1"/>
    <col min="5891" max="5891" width="3.28515625" style="190" customWidth="1"/>
    <col min="5892" max="5894" width="15.28515625" style="190" customWidth="1"/>
    <col min="5895" max="5895" width="14" style="190" customWidth="1"/>
    <col min="5896" max="5896" width="14.28515625" style="190" customWidth="1"/>
    <col min="5897" max="5897" width="11.85546875" style="190" customWidth="1"/>
    <col min="5898" max="5898" width="14.42578125" style="190" customWidth="1"/>
    <col min="5899" max="5899" width="12.5703125" style="190" customWidth="1"/>
    <col min="5900" max="5902" width="15.28515625" style="190" customWidth="1"/>
    <col min="5903" max="5903" width="12.42578125" style="190" customWidth="1"/>
    <col min="5904" max="5904" width="15.28515625" style="190" customWidth="1"/>
    <col min="5905" max="6143" width="9.140625" style="190"/>
    <col min="6144" max="6144" width="5.28515625" style="190" customWidth="1"/>
    <col min="6145" max="6145" width="37.28515625" style="190" bestFit="1" customWidth="1"/>
    <col min="6146" max="6146" width="15.28515625" style="190" customWidth="1"/>
    <col min="6147" max="6147" width="3.28515625" style="190" customWidth="1"/>
    <col min="6148" max="6150" width="15.28515625" style="190" customWidth="1"/>
    <col min="6151" max="6151" width="14" style="190" customWidth="1"/>
    <col min="6152" max="6152" width="14.28515625" style="190" customWidth="1"/>
    <col min="6153" max="6153" width="11.85546875" style="190" customWidth="1"/>
    <col min="6154" max="6154" width="14.42578125" style="190" customWidth="1"/>
    <col min="6155" max="6155" width="12.5703125" style="190" customWidth="1"/>
    <col min="6156" max="6158" width="15.28515625" style="190" customWidth="1"/>
    <col min="6159" max="6159" width="12.42578125" style="190" customWidth="1"/>
    <col min="6160" max="6160" width="15.28515625" style="190" customWidth="1"/>
    <col min="6161" max="6399" width="9.140625" style="190"/>
    <col min="6400" max="6400" width="5.28515625" style="190" customWidth="1"/>
    <col min="6401" max="6401" width="37.28515625" style="190" bestFit="1" customWidth="1"/>
    <col min="6402" max="6402" width="15.28515625" style="190" customWidth="1"/>
    <col min="6403" max="6403" width="3.28515625" style="190" customWidth="1"/>
    <col min="6404" max="6406" width="15.28515625" style="190" customWidth="1"/>
    <col min="6407" max="6407" width="14" style="190" customWidth="1"/>
    <col min="6408" max="6408" width="14.28515625" style="190" customWidth="1"/>
    <col min="6409" max="6409" width="11.85546875" style="190" customWidth="1"/>
    <col min="6410" max="6410" width="14.42578125" style="190" customWidth="1"/>
    <col min="6411" max="6411" width="12.5703125" style="190" customWidth="1"/>
    <col min="6412" max="6414" width="15.28515625" style="190" customWidth="1"/>
    <col min="6415" max="6415" width="12.42578125" style="190" customWidth="1"/>
    <col min="6416" max="6416" width="15.28515625" style="190" customWidth="1"/>
    <col min="6417" max="6655" width="9.140625" style="190"/>
    <col min="6656" max="6656" width="5.28515625" style="190" customWidth="1"/>
    <col min="6657" max="6657" width="37.28515625" style="190" bestFit="1" customWidth="1"/>
    <col min="6658" max="6658" width="15.28515625" style="190" customWidth="1"/>
    <col min="6659" max="6659" width="3.28515625" style="190" customWidth="1"/>
    <col min="6660" max="6662" width="15.28515625" style="190" customWidth="1"/>
    <col min="6663" max="6663" width="14" style="190" customWidth="1"/>
    <col min="6664" max="6664" width="14.28515625" style="190" customWidth="1"/>
    <col min="6665" max="6665" width="11.85546875" style="190" customWidth="1"/>
    <col min="6666" max="6666" width="14.42578125" style="190" customWidth="1"/>
    <col min="6667" max="6667" width="12.5703125" style="190" customWidth="1"/>
    <col min="6668" max="6670" width="15.28515625" style="190" customWidth="1"/>
    <col min="6671" max="6671" width="12.42578125" style="190" customWidth="1"/>
    <col min="6672" max="6672" width="15.28515625" style="190" customWidth="1"/>
    <col min="6673" max="6911" width="9.140625" style="190"/>
    <col min="6912" max="6912" width="5.28515625" style="190" customWidth="1"/>
    <col min="6913" max="6913" width="37.28515625" style="190" bestFit="1" customWidth="1"/>
    <col min="6914" max="6914" width="15.28515625" style="190" customWidth="1"/>
    <col min="6915" max="6915" width="3.28515625" style="190" customWidth="1"/>
    <col min="6916" max="6918" width="15.28515625" style="190" customWidth="1"/>
    <col min="6919" max="6919" width="14" style="190" customWidth="1"/>
    <col min="6920" max="6920" width="14.28515625" style="190" customWidth="1"/>
    <col min="6921" max="6921" width="11.85546875" style="190" customWidth="1"/>
    <col min="6922" max="6922" width="14.42578125" style="190" customWidth="1"/>
    <col min="6923" max="6923" width="12.5703125" style="190" customWidth="1"/>
    <col min="6924" max="6926" width="15.28515625" style="190" customWidth="1"/>
    <col min="6927" max="6927" width="12.42578125" style="190" customWidth="1"/>
    <col min="6928" max="6928" width="15.28515625" style="190" customWidth="1"/>
    <col min="6929" max="7167" width="9.140625" style="190"/>
    <col min="7168" max="7168" width="5.28515625" style="190" customWidth="1"/>
    <col min="7169" max="7169" width="37.28515625" style="190" bestFit="1" customWidth="1"/>
    <col min="7170" max="7170" width="15.28515625" style="190" customWidth="1"/>
    <col min="7171" max="7171" width="3.28515625" style="190" customWidth="1"/>
    <col min="7172" max="7174" width="15.28515625" style="190" customWidth="1"/>
    <col min="7175" max="7175" width="14" style="190" customWidth="1"/>
    <col min="7176" max="7176" width="14.28515625" style="190" customWidth="1"/>
    <col min="7177" max="7177" width="11.85546875" style="190" customWidth="1"/>
    <col min="7178" max="7178" width="14.42578125" style="190" customWidth="1"/>
    <col min="7179" max="7179" width="12.5703125" style="190" customWidth="1"/>
    <col min="7180" max="7182" width="15.28515625" style="190" customWidth="1"/>
    <col min="7183" max="7183" width="12.42578125" style="190" customWidth="1"/>
    <col min="7184" max="7184" width="15.28515625" style="190" customWidth="1"/>
    <col min="7185" max="7423" width="9.140625" style="190"/>
    <col min="7424" max="7424" width="5.28515625" style="190" customWidth="1"/>
    <col min="7425" max="7425" width="37.28515625" style="190" bestFit="1" customWidth="1"/>
    <col min="7426" max="7426" width="15.28515625" style="190" customWidth="1"/>
    <col min="7427" max="7427" width="3.28515625" style="190" customWidth="1"/>
    <col min="7428" max="7430" width="15.28515625" style="190" customWidth="1"/>
    <col min="7431" max="7431" width="14" style="190" customWidth="1"/>
    <col min="7432" max="7432" width="14.28515625" style="190" customWidth="1"/>
    <col min="7433" max="7433" width="11.85546875" style="190" customWidth="1"/>
    <col min="7434" max="7434" width="14.42578125" style="190" customWidth="1"/>
    <col min="7435" max="7435" width="12.5703125" style="190" customWidth="1"/>
    <col min="7436" max="7438" width="15.28515625" style="190" customWidth="1"/>
    <col min="7439" max="7439" width="12.42578125" style="190" customWidth="1"/>
    <col min="7440" max="7440" width="15.28515625" style="190" customWidth="1"/>
    <col min="7441" max="7679" width="9.140625" style="190"/>
    <col min="7680" max="7680" width="5.28515625" style="190" customWidth="1"/>
    <col min="7681" max="7681" width="37.28515625" style="190" bestFit="1" customWidth="1"/>
    <col min="7682" max="7682" width="15.28515625" style="190" customWidth="1"/>
    <col min="7683" max="7683" width="3.28515625" style="190" customWidth="1"/>
    <col min="7684" max="7686" width="15.28515625" style="190" customWidth="1"/>
    <col min="7687" max="7687" width="14" style="190" customWidth="1"/>
    <col min="7688" max="7688" width="14.28515625" style="190" customWidth="1"/>
    <col min="7689" max="7689" width="11.85546875" style="190" customWidth="1"/>
    <col min="7690" max="7690" width="14.42578125" style="190" customWidth="1"/>
    <col min="7691" max="7691" width="12.5703125" style="190" customWidth="1"/>
    <col min="7692" max="7694" width="15.28515625" style="190" customWidth="1"/>
    <col min="7695" max="7695" width="12.42578125" style="190" customWidth="1"/>
    <col min="7696" max="7696" width="15.28515625" style="190" customWidth="1"/>
    <col min="7697" max="7935" width="9.140625" style="190"/>
    <col min="7936" max="7936" width="5.28515625" style="190" customWidth="1"/>
    <col min="7937" max="7937" width="37.28515625" style="190" bestFit="1" customWidth="1"/>
    <col min="7938" max="7938" width="15.28515625" style="190" customWidth="1"/>
    <col min="7939" max="7939" width="3.28515625" style="190" customWidth="1"/>
    <col min="7940" max="7942" width="15.28515625" style="190" customWidth="1"/>
    <col min="7943" max="7943" width="14" style="190" customWidth="1"/>
    <col min="7944" max="7944" width="14.28515625" style="190" customWidth="1"/>
    <col min="7945" max="7945" width="11.85546875" style="190" customWidth="1"/>
    <col min="7946" max="7946" width="14.42578125" style="190" customWidth="1"/>
    <col min="7947" max="7947" width="12.5703125" style="190" customWidth="1"/>
    <col min="7948" max="7950" width="15.28515625" style="190" customWidth="1"/>
    <col min="7951" max="7951" width="12.42578125" style="190" customWidth="1"/>
    <col min="7952" max="7952" width="15.28515625" style="190" customWidth="1"/>
    <col min="7953" max="8191" width="9.140625" style="190"/>
    <col min="8192" max="8192" width="5.28515625" style="190" customWidth="1"/>
    <col min="8193" max="8193" width="37.28515625" style="190" bestFit="1" customWidth="1"/>
    <col min="8194" max="8194" width="15.28515625" style="190" customWidth="1"/>
    <col min="8195" max="8195" width="3.28515625" style="190" customWidth="1"/>
    <col min="8196" max="8198" width="15.28515625" style="190" customWidth="1"/>
    <col min="8199" max="8199" width="14" style="190" customWidth="1"/>
    <col min="8200" max="8200" width="14.28515625" style="190" customWidth="1"/>
    <col min="8201" max="8201" width="11.85546875" style="190" customWidth="1"/>
    <col min="8202" max="8202" width="14.42578125" style="190" customWidth="1"/>
    <col min="8203" max="8203" width="12.5703125" style="190" customWidth="1"/>
    <col min="8204" max="8206" width="15.28515625" style="190" customWidth="1"/>
    <col min="8207" max="8207" width="12.42578125" style="190" customWidth="1"/>
    <col min="8208" max="8208" width="15.28515625" style="190" customWidth="1"/>
    <col min="8209" max="8447" width="9.140625" style="190"/>
    <col min="8448" max="8448" width="5.28515625" style="190" customWidth="1"/>
    <col min="8449" max="8449" width="37.28515625" style="190" bestFit="1" customWidth="1"/>
    <col min="8450" max="8450" width="15.28515625" style="190" customWidth="1"/>
    <col min="8451" max="8451" width="3.28515625" style="190" customWidth="1"/>
    <col min="8452" max="8454" width="15.28515625" style="190" customWidth="1"/>
    <col min="8455" max="8455" width="14" style="190" customWidth="1"/>
    <col min="8456" max="8456" width="14.28515625" style="190" customWidth="1"/>
    <col min="8457" max="8457" width="11.85546875" style="190" customWidth="1"/>
    <col min="8458" max="8458" width="14.42578125" style="190" customWidth="1"/>
    <col min="8459" max="8459" width="12.5703125" style="190" customWidth="1"/>
    <col min="8460" max="8462" width="15.28515625" style="190" customWidth="1"/>
    <col min="8463" max="8463" width="12.42578125" style="190" customWidth="1"/>
    <col min="8464" max="8464" width="15.28515625" style="190" customWidth="1"/>
    <col min="8465" max="8703" width="9.140625" style="190"/>
    <col min="8704" max="8704" width="5.28515625" style="190" customWidth="1"/>
    <col min="8705" max="8705" width="37.28515625" style="190" bestFit="1" customWidth="1"/>
    <col min="8706" max="8706" width="15.28515625" style="190" customWidth="1"/>
    <col min="8707" max="8707" width="3.28515625" style="190" customWidth="1"/>
    <col min="8708" max="8710" width="15.28515625" style="190" customWidth="1"/>
    <col min="8711" max="8711" width="14" style="190" customWidth="1"/>
    <col min="8712" max="8712" width="14.28515625" style="190" customWidth="1"/>
    <col min="8713" max="8713" width="11.85546875" style="190" customWidth="1"/>
    <col min="8714" max="8714" width="14.42578125" style="190" customWidth="1"/>
    <col min="8715" max="8715" width="12.5703125" style="190" customWidth="1"/>
    <col min="8716" max="8718" width="15.28515625" style="190" customWidth="1"/>
    <col min="8719" max="8719" width="12.42578125" style="190" customWidth="1"/>
    <col min="8720" max="8720" width="15.28515625" style="190" customWidth="1"/>
    <col min="8721" max="8959" width="9.140625" style="190"/>
    <col min="8960" max="8960" width="5.28515625" style="190" customWidth="1"/>
    <col min="8961" max="8961" width="37.28515625" style="190" bestFit="1" customWidth="1"/>
    <col min="8962" max="8962" width="15.28515625" style="190" customWidth="1"/>
    <col min="8963" max="8963" width="3.28515625" style="190" customWidth="1"/>
    <col min="8964" max="8966" width="15.28515625" style="190" customWidth="1"/>
    <col min="8967" max="8967" width="14" style="190" customWidth="1"/>
    <col min="8968" max="8968" width="14.28515625" style="190" customWidth="1"/>
    <col min="8969" max="8969" width="11.85546875" style="190" customWidth="1"/>
    <col min="8970" max="8970" width="14.42578125" style="190" customWidth="1"/>
    <col min="8971" max="8971" width="12.5703125" style="190" customWidth="1"/>
    <col min="8972" max="8974" width="15.28515625" style="190" customWidth="1"/>
    <col min="8975" max="8975" width="12.42578125" style="190" customWidth="1"/>
    <col min="8976" max="8976" width="15.28515625" style="190" customWidth="1"/>
    <col min="8977" max="9215" width="9.140625" style="190"/>
    <col min="9216" max="9216" width="5.28515625" style="190" customWidth="1"/>
    <col min="9217" max="9217" width="37.28515625" style="190" bestFit="1" customWidth="1"/>
    <col min="9218" max="9218" width="15.28515625" style="190" customWidth="1"/>
    <col min="9219" max="9219" width="3.28515625" style="190" customWidth="1"/>
    <col min="9220" max="9222" width="15.28515625" style="190" customWidth="1"/>
    <col min="9223" max="9223" width="14" style="190" customWidth="1"/>
    <col min="9224" max="9224" width="14.28515625" style="190" customWidth="1"/>
    <col min="9225" max="9225" width="11.85546875" style="190" customWidth="1"/>
    <col min="9226" max="9226" width="14.42578125" style="190" customWidth="1"/>
    <col min="9227" max="9227" width="12.5703125" style="190" customWidth="1"/>
    <col min="9228" max="9230" width="15.28515625" style="190" customWidth="1"/>
    <col min="9231" max="9231" width="12.42578125" style="190" customWidth="1"/>
    <col min="9232" max="9232" width="15.28515625" style="190" customWidth="1"/>
    <col min="9233" max="9471" width="9.140625" style="190"/>
    <col min="9472" max="9472" width="5.28515625" style="190" customWidth="1"/>
    <col min="9473" max="9473" width="37.28515625" style="190" bestFit="1" customWidth="1"/>
    <col min="9474" max="9474" width="15.28515625" style="190" customWidth="1"/>
    <col min="9475" max="9475" width="3.28515625" style="190" customWidth="1"/>
    <col min="9476" max="9478" width="15.28515625" style="190" customWidth="1"/>
    <col min="9479" max="9479" width="14" style="190" customWidth="1"/>
    <col min="9480" max="9480" width="14.28515625" style="190" customWidth="1"/>
    <col min="9481" max="9481" width="11.85546875" style="190" customWidth="1"/>
    <col min="9482" max="9482" width="14.42578125" style="190" customWidth="1"/>
    <col min="9483" max="9483" width="12.5703125" style="190" customWidth="1"/>
    <col min="9484" max="9486" width="15.28515625" style="190" customWidth="1"/>
    <col min="9487" max="9487" width="12.42578125" style="190" customWidth="1"/>
    <col min="9488" max="9488" width="15.28515625" style="190" customWidth="1"/>
    <col min="9489" max="9727" width="9.140625" style="190"/>
    <col min="9728" max="9728" width="5.28515625" style="190" customWidth="1"/>
    <col min="9729" max="9729" width="37.28515625" style="190" bestFit="1" customWidth="1"/>
    <col min="9730" max="9730" width="15.28515625" style="190" customWidth="1"/>
    <col min="9731" max="9731" width="3.28515625" style="190" customWidth="1"/>
    <col min="9732" max="9734" width="15.28515625" style="190" customWidth="1"/>
    <col min="9735" max="9735" width="14" style="190" customWidth="1"/>
    <col min="9736" max="9736" width="14.28515625" style="190" customWidth="1"/>
    <col min="9737" max="9737" width="11.85546875" style="190" customWidth="1"/>
    <col min="9738" max="9738" width="14.42578125" style="190" customWidth="1"/>
    <col min="9739" max="9739" width="12.5703125" style="190" customWidth="1"/>
    <col min="9740" max="9742" width="15.28515625" style="190" customWidth="1"/>
    <col min="9743" max="9743" width="12.42578125" style="190" customWidth="1"/>
    <col min="9744" max="9744" width="15.28515625" style="190" customWidth="1"/>
    <col min="9745" max="9983" width="9.140625" style="190"/>
    <col min="9984" max="9984" width="5.28515625" style="190" customWidth="1"/>
    <col min="9985" max="9985" width="37.28515625" style="190" bestFit="1" customWidth="1"/>
    <col min="9986" max="9986" width="15.28515625" style="190" customWidth="1"/>
    <col min="9987" max="9987" width="3.28515625" style="190" customWidth="1"/>
    <col min="9988" max="9990" width="15.28515625" style="190" customWidth="1"/>
    <col min="9991" max="9991" width="14" style="190" customWidth="1"/>
    <col min="9992" max="9992" width="14.28515625" style="190" customWidth="1"/>
    <col min="9993" max="9993" width="11.85546875" style="190" customWidth="1"/>
    <col min="9994" max="9994" width="14.42578125" style="190" customWidth="1"/>
    <col min="9995" max="9995" width="12.5703125" style="190" customWidth="1"/>
    <col min="9996" max="9998" width="15.28515625" style="190" customWidth="1"/>
    <col min="9999" max="9999" width="12.42578125" style="190" customWidth="1"/>
    <col min="10000" max="10000" width="15.28515625" style="190" customWidth="1"/>
    <col min="10001" max="10239" width="9.140625" style="190"/>
    <col min="10240" max="10240" width="5.28515625" style="190" customWidth="1"/>
    <col min="10241" max="10241" width="37.28515625" style="190" bestFit="1" customWidth="1"/>
    <col min="10242" max="10242" width="15.28515625" style="190" customWidth="1"/>
    <col min="10243" max="10243" width="3.28515625" style="190" customWidth="1"/>
    <col min="10244" max="10246" width="15.28515625" style="190" customWidth="1"/>
    <col min="10247" max="10247" width="14" style="190" customWidth="1"/>
    <col min="10248" max="10248" width="14.28515625" style="190" customWidth="1"/>
    <col min="10249" max="10249" width="11.85546875" style="190" customWidth="1"/>
    <col min="10250" max="10250" width="14.42578125" style="190" customWidth="1"/>
    <col min="10251" max="10251" width="12.5703125" style="190" customWidth="1"/>
    <col min="10252" max="10254" width="15.28515625" style="190" customWidth="1"/>
    <col min="10255" max="10255" width="12.42578125" style="190" customWidth="1"/>
    <col min="10256" max="10256" width="15.28515625" style="190" customWidth="1"/>
    <col min="10257" max="10495" width="9.140625" style="190"/>
    <col min="10496" max="10496" width="5.28515625" style="190" customWidth="1"/>
    <col min="10497" max="10497" width="37.28515625" style="190" bestFit="1" customWidth="1"/>
    <col min="10498" max="10498" width="15.28515625" style="190" customWidth="1"/>
    <col min="10499" max="10499" width="3.28515625" style="190" customWidth="1"/>
    <col min="10500" max="10502" width="15.28515625" style="190" customWidth="1"/>
    <col min="10503" max="10503" width="14" style="190" customWidth="1"/>
    <col min="10504" max="10504" width="14.28515625" style="190" customWidth="1"/>
    <col min="10505" max="10505" width="11.85546875" style="190" customWidth="1"/>
    <col min="10506" max="10506" width="14.42578125" style="190" customWidth="1"/>
    <col min="10507" max="10507" width="12.5703125" style="190" customWidth="1"/>
    <col min="10508" max="10510" width="15.28515625" style="190" customWidth="1"/>
    <col min="10511" max="10511" width="12.42578125" style="190" customWidth="1"/>
    <col min="10512" max="10512" width="15.28515625" style="190" customWidth="1"/>
    <col min="10513" max="10751" width="9.140625" style="190"/>
    <col min="10752" max="10752" width="5.28515625" style="190" customWidth="1"/>
    <col min="10753" max="10753" width="37.28515625" style="190" bestFit="1" customWidth="1"/>
    <col min="10754" max="10754" width="15.28515625" style="190" customWidth="1"/>
    <col min="10755" max="10755" width="3.28515625" style="190" customWidth="1"/>
    <col min="10756" max="10758" width="15.28515625" style="190" customWidth="1"/>
    <col min="10759" max="10759" width="14" style="190" customWidth="1"/>
    <col min="10760" max="10760" width="14.28515625" style="190" customWidth="1"/>
    <col min="10761" max="10761" width="11.85546875" style="190" customWidth="1"/>
    <col min="10762" max="10762" width="14.42578125" style="190" customWidth="1"/>
    <col min="10763" max="10763" width="12.5703125" style="190" customWidth="1"/>
    <col min="10764" max="10766" width="15.28515625" style="190" customWidth="1"/>
    <col min="10767" max="10767" width="12.42578125" style="190" customWidth="1"/>
    <col min="10768" max="10768" width="15.28515625" style="190" customWidth="1"/>
    <col min="10769" max="11007" width="9.140625" style="190"/>
    <col min="11008" max="11008" width="5.28515625" style="190" customWidth="1"/>
    <col min="11009" max="11009" width="37.28515625" style="190" bestFit="1" customWidth="1"/>
    <col min="11010" max="11010" width="15.28515625" style="190" customWidth="1"/>
    <col min="11011" max="11011" width="3.28515625" style="190" customWidth="1"/>
    <col min="11012" max="11014" width="15.28515625" style="190" customWidth="1"/>
    <col min="11015" max="11015" width="14" style="190" customWidth="1"/>
    <col min="11016" max="11016" width="14.28515625" style="190" customWidth="1"/>
    <col min="11017" max="11017" width="11.85546875" style="190" customWidth="1"/>
    <col min="11018" max="11018" width="14.42578125" style="190" customWidth="1"/>
    <col min="11019" max="11019" width="12.5703125" style="190" customWidth="1"/>
    <col min="11020" max="11022" width="15.28515625" style="190" customWidth="1"/>
    <col min="11023" max="11023" width="12.42578125" style="190" customWidth="1"/>
    <col min="11024" max="11024" width="15.28515625" style="190" customWidth="1"/>
    <col min="11025" max="11263" width="9.140625" style="190"/>
    <col min="11264" max="11264" width="5.28515625" style="190" customWidth="1"/>
    <col min="11265" max="11265" width="37.28515625" style="190" bestFit="1" customWidth="1"/>
    <col min="11266" max="11266" width="15.28515625" style="190" customWidth="1"/>
    <col min="11267" max="11267" width="3.28515625" style="190" customWidth="1"/>
    <col min="11268" max="11270" width="15.28515625" style="190" customWidth="1"/>
    <col min="11271" max="11271" width="14" style="190" customWidth="1"/>
    <col min="11272" max="11272" width="14.28515625" style="190" customWidth="1"/>
    <col min="11273" max="11273" width="11.85546875" style="190" customWidth="1"/>
    <col min="11274" max="11274" width="14.42578125" style="190" customWidth="1"/>
    <col min="11275" max="11275" width="12.5703125" style="190" customWidth="1"/>
    <col min="11276" max="11278" width="15.28515625" style="190" customWidth="1"/>
    <col min="11279" max="11279" width="12.42578125" style="190" customWidth="1"/>
    <col min="11280" max="11280" width="15.28515625" style="190" customWidth="1"/>
    <col min="11281" max="11519" width="9.140625" style="190"/>
    <col min="11520" max="11520" width="5.28515625" style="190" customWidth="1"/>
    <col min="11521" max="11521" width="37.28515625" style="190" bestFit="1" customWidth="1"/>
    <col min="11522" max="11522" width="15.28515625" style="190" customWidth="1"/>
    <col min="11523" max="11523" width="3.28515625" style="190" customWidth="1"/>
    <col min="11524" max="11526" width="15.28515625" style="190" customWidth="1"/>
    <col min="11527" max="11527" width="14" style="190" customWidth="1"/>
    <col min="11528" max="11528" width="14.28515625" style="190" customWidth="1"/>
    <col min="11529" max="11529" width="11.85546875" style="190" customWidth="1"/>
    <col min="11530" max="11530" width="14.42578125" style="190" customWidth="1"/>
    <col min="11531" max="11531" width="12.5703125" style="190" customWidth="1"/>
    <col min="11532" max="11534" width="15.28515625" style="190" customWidth="1"/>
    <col min="11535" max="11535" width="12.42578125" style="190" customWidth="1"/>
    <col min="11536" max="11536" width="15.28515625" style="190" customWidth="1"/>
    <col min="11537" max="11775" width="9.140625" style="190"/>
    <col min="11776" max="11776" width="5.28515625" style="190" customWidth="1"/>
    <col min="11777" max="11777" width="37.28515625" style="190" bestFit="1" customWidth="1"/>
    <col min="11778" max="11778" width="15.28515625" style="190" customWidth="1"/>
    <col min="11779" max="11779" width="3.28515625" style="190" customWidth="1"/>
    <col min="11780" max="11782" width="15.28515625" style="190" customWidth="1"/>
    <col min="11783" max="11783" width="14" style="190" customWidth="1"/>
    <col min="11784" max="11784" width="14.28515625" style="190" customWidth="1"/>
    <col min="11785" max="11785" width="11.85546875" style="190" customWidth="1"/>
    <col min="11786" max="11786" width="14.42578125" style="190" customWidth="1"/>
    <col min="11787" max="11787" width="12.5703125" style="190" customWidth="1"/>
    <col min="11788" max="11790" width="15.28515625" style="190" customWidth="1"/>
    <col min="11791" max="11791" width="12.42578125" style="190" customWidth="1"/>
    <col min="11792" max="11792" width="15.28515625" style="190" customWidth="1"/>
    <col min="11793" max="12031" width="9.140625" style="190"/>
    <col min="12032" max="12032" width="5.28515625" style="190" customWidth="1"/>
    <col min="12033" max="12033" width="37.28515625" style="190" bestFit="1" customWidth="1"/>
    <col min="12034" max="12034" width="15.28515625" style="190" customWidth="1"/>
    <col min="12035" max="12035" width="3.28515625" style="190" customWidth="1"/>
    <col min="12036" max="12038" width="15.28515625" style="190" customWidth="1"/>
    <col min="12039" max="12039" width="14" style="190" customWidth="1"/>
    <col min="12040" max="12040" width="14.28515625" style="190" customWidth="1"/>
    <col min="12041" max="12041" width="11.85546875" style="190" customWidth="1"/>
    <col min="12042" max="12042" width="14.42578125" style="190" customWidth="1"/>
    <col min="12043" max="12043" width="12.5703125" style="190" customWidth="1"/>
    <col min="12044" max="12046" width="15.28515625" style="190" customWidth="1"/>
    <col min="12047" max="12047" width="12.42578125" style="190" customWidth="1"/>
    <col min="12048" max="12048" width="15.28515625" style="190" customWidth="1"/>
    <col min="12049" max="12287" width="9.140625" style="190"/>
    <col min="12288" max="12288" width="5.28515625" style="190" customWidth="1"/>
    <col min="12289" max="12289" width="37.28515625" style="190" bestFit="1" customWidth="1"/>
    <col min="12290" max="12290" width="15.28515625" style="190" customWidth="1"/>
    <col min="12291" max="12291" width="3.28515625" style="190" customWidth="1"/>
    <col min="12292" max="12294" width="15.28515625" style="190" customWidth="1"/>
    <col min="12295" max="12295" width="14" style="190" customWidth="1"/>
    <col min="12296" max="12296" width="14.28515625" style="190" customWidth="1"/>
    <col min="12297" max="12297" width="11.85546875" style="190" customWidth="1"/>
    <col min="12298" max="12298" width="14.42578125" style="190" customWidth="1"/>
    <col min="12299" max="12299" width="12.5703125" style="190" customWidth="1"/>
    <col min="12300" max="12302" width="15.28515625" style="190" customWidth="1"/>
    <col min="12303" max="12303" width="12.42578125" style="190" customWidth="1"/>
    <col min="12304" max="12304" width="15.28515625" style="190" customWidth="1"/>
    <col min="12305" max="12543" width="9.140625" style="190"/>
    <col min="12544" max="12544" width="5.28515625" style="190" customWidth="1"/>
    <col min="12545" max="12545" width="37.28515625" style="190" bestFit="1" customWidth="1"/>
    <col min="12546" max="12546" width="15.28515625" style="190" customWidth="1"/>
    <col min="12547" max="12547" width="3.28515625" style="190" customWidth="1"/>
    <col min="12548" max="12550" width="15.28515625" style="190" customWidth="1"/>
    <col min="12551" max="12551" width="14" style="190" customWidth="1"/>
    <col min="12552" max="12552" width="14.28515625" style="190" customWidth="1"/>
    <col min="12553" max="12553" width="11.85546875" style="190" customWidth="1"/>
    <col min="12554" max="12554" width="14.42578125" style="190" customWidth="1"/>
    <col min="12555" max="12555" width="12.5703125" style="190" customWidth="1"/>
    <col min="12556" max="12558" width="15.28515625" style="190" customWidth="1"/>
    <col min="12559" max="12559" width="12.42578125" style="190" customWidth="1"/>
    <col min="12560" max="12560" width="15.28515625" style="190" customWidth="1"/>
    <col min="12561" max="12799" width="9.140625" style="190"/>
    <col min="12800" max="12800" width="5.28515625" style="190" customWidth="1"/>
    <col min="12801" max="12801" width="37.28515625" style="190" bestFit="1" customWidth="1"/>
    <col min="12802" max="12802" width="15.28515625" style="190" customWidth="1"/>
    <col min="12803" max="12803" width="3.28515625" style="190" customWidth="1"/>
    <col min="12804" max="12806" width="15.28515625" style="190" customWidth="1"/>
    <col min="12807" max="12807" width="14" style="190" customWidth="1"/>
    <col min="12808" max="12808" width="14.28515625" style="190" customWidth="1"/>
    <col min="12809" max="12809" width="11.85546875" style="190" customWidth="1"/>
    <col min="12810" max="12810" width="14.42578125" style="190" customWidth="1"/>
    <col min="12811" max="12811" width="12.5703125" style="190" customWidth="1"/>
    <col min="12812" max="12814" width="15.28515625" style="190" customWidth="1"/>
    <col min="12815" max="12815" width="12.42578125" style="190" customWidth="1"/>
    <col min="12816" max="12816" width="15.28515625" style="190" customWidth="1"/>
    <col min="12817" max="13055" width="9.140625" style="190"/>
    <col min="13056" max="13056" width="5.28515625" style="190" customWidth="1"/>
    <col min="13057" max="13057" width="37.28515625" style="190" bestFit="1" customWidth="1"/>
    <col min="13058" max="13058" width="15.28515625" style="190" customWidth="1"/>
    <col min="13059" max="13059" width="3.28515625" style="190" customWidth="1"/>
    <col min="13060" max="13062" width="15.28515625" style="190" customWidth="1"/>
    <col min="13063" max="13063" width="14" style="190" customWidth="1"/>
    <col min="13064" max="13064" width="14.28515625" style="190" customWidth="1"/>
    <col min="13065" max="13065" width="11.85546875" style="190" customWidth="1"/>
    <col min="13066" max="13066" width="14.42578125" style="190" customWidth="1"/>
    <col min="13067" max="13067" width="12.5703125" style="190" customWidth="1"/>
    <col min="13068" max="13070" width="15.28515625" style="190" customWidth="1"/>
    <col min="13071" max="13071" width="12.42578125" style="190" customWidth="1"/>
    <col min="13072" max="13072" width="15.28515625" style="190" customWidth="1"/>
    <col min="13073" max="13311" width="9.140625" style="190"/>
    <col min="13312" max="13312" width="5.28515625" style="190" customWidth="1"/>
    <col min="13313" max="13313" width="37.28515625" style="190" bestFit="1" customWidth="1"/>
    <col min="13314" max="13314" width="15.28515625" style="190" customWidth="1"/>
    <col min="13315" max="13315" width="3.28515625" style="190" customWidth="1"/>
    <col min="13316" max="13318" width="15.28515625" style="190" customWidth="1"/>
    <col min="13319" max="13319" width="14" style="190" customWidth="1"/>
    <col min="13320" max="13320" width="14.28515625" style="190" customWidth="1"/>
    <col min="13321" max="13321" width="11.85546875" style="190" customWidth="1"/>
    <col min="13322" max="13322" width="14.42578125" style="190" customWidth="1"/>
    <col min="13323" max="13323" width="12.5703125" style="190" customWidth="1"/>
    <col min="13324" max="13326" width="15.28515625" style="190" customWidth="1"/>
    <col min="13327" max="13327" width="12.42578125" style="190" customWidth="1"/>
    <col min="13328" max="13328" width="15.28515625" style="190" customWidth="1"/>
    <col min="13329" max="13567" width="9.140625" style="190"/>
    <col min="13568" max="13568" width="5.28515625" style="190" customWidth="1"/>
    <col min="13569" max="13569" width="37.28515625" style="190" bestFit="1" customWidth="1"/>
    <col min="13570" max="13570" width="15.28515625" style="190" customWidth="1"/>
    <col min="13571" max="13571" width="3.28515625" style="190" customWidth="1"/>
    <col min="13572" max="13574" width="15.28515625" style="190" customWidth="1"/>
    <col min="13575" max="13575" width="14" style="190" customWidth="1"/>
    <col min="13576" max="13576" width="14.28515625" style="190" customWidth="1"/>
    <col min="13577" max="13577" width="11.85546875" style="190" customWidth="1"/>
    <col min="13578" max="13578" width="14.42578125" style="190" customWidth="1"/>
    <col min="13579" max="13579" width="12.5703125" style="190" customWidth="1"/>
    <col min="13580" max="13582" width="15.28515625" style="190" customWidth="1"/>
    <col min="13583" max="13583" width="12.42578125" style="190" customWidth="1"/>
    <col min="13584" max="13584" width="15.28515625" style="190" customWidth="1"/>
    <col min="13585" max="13823" width="9.140625" style="190"/>
    <col min="13824" max="13824" width="5.28515625" style="190" customWidth="1"/>
    <col min="13825" max="13825" width="37.28515625" style="190" bestFit="1" customWidth="1"/>
    <col min="13826" max="13826" width="15.28515625" style="190" customWidth="1"/>
    <col min="13827" max="13827" width="3.28515625" style="190" customWidth="1"/>
    <col min="13828" max="13830" width="15.28515625" style="190" customWidth="1"/>
    <col min="13831" max="13831" width="14" style="190" customWidth="1"/>
    <col min="13832" max="13832" width="14.28515625" style="190" customWidth="1"/>
    <col min="13833" max="13833" width="11.85546875" style="190" customWidth="1"/>
    <col min="13834" max="13834" width="14.42578125" style="190" customWidth="1"/>
    <col min="13835" max="13835" width="12.5703125" style="190" customWidth="1"/>
    <col min="13836" max="13838" width="15.28515625" style="190" customWidth="1"/>
    <col min="13839" max="13839" width="12.42578125" style="190" customWidth="1"/>
    <col min="13840" max="13840" width="15.28515625" style="190" customWidth="1"/>
    <col min="13841" max="14079" width="9.140625" style="190"/>
    <col min="14080" max="14080" width="5.28515625" style="190" customWidth="1"/>
    <col min="14081" max="14081" width="37.28515625" style="190" bestFit="1" customWidth="1"/>
    <col min="14082" max="14082" width="15.28515625" style="190" customWidth="1"/>
    <col min="14083" max="14083" width="3.28515625" style="190" customWidth="1"/>
    <col min="14084" max="14086" width="15.28515625" style="190" customWidth="1"/>
    <col min="14087" max="14087" width="14" style="190" customWidth="1"/>
    <col min="14088" max="14088" width="14.28515625" style="190" customWidth="1"/>
    <col min="14089" max="14089" width="11.85546875" style="190" customWidth="1"/>
    <col min="14090" max="14090" width="14.42578125" style="190" customWidth="1"/>
    <col min="14091" max="14091" width="12.5703125" style="190" customWidth="1"/>
    <col min="14092" max="14094" width="15.28515625" style="190" customWidth="1"/>
    <col min="14095" max="14095" width="12.42578125" style="190" customWidth="1"/>
    <col min="14096" max="14096" width="15.28515625" style="190" customWidth="1"/>
    <col min="14097" max="14335" width="9.140625" style="190"/>
    <col min="14336" max="14336" width="5.28515625" style="190" customWidth="1"/>
    <col min="14337" max="14337" width="37.28515625" style="190" bestFit="1" customWidth="1"/>
    <col min="14338" max="14338" width="15.28515625" style="190" customWidth="1"/>
    <col min="14339" max="14339" width="3.28515625" style="190" customWidth="1"/>
    <col min="14340" max="14342" width="15.28515625" style="190" customWidth="1"/>
    <col min="14343" max="14343" width="14" style="190" customWidth="1"/>
    <col min="14344" max="14344" width="14.28515625" style="190" customWidth="1"/>
    <col min="14345" max="14345" width="11.85546875" style="190" customWidth="1"/>
    <col min="14346" max="14346" width="14.42578125" style="190" customWidth="1"/>
    <col min="14347" max="14347" width="12.5703125" style="190" customWidth="1"/>
    <col min="14348" max="14350" width="15.28515625" style="190" customWidth="1"/>
    <col min="14351" max="14351" width="12.42578125" style="190" customWidth="1"/>
    <col min="14352" max="14352" width="15.28515625" style="190" customWidth="1"/>
    <col min="14353" max="14591" width="9.140625" style="190"/>
    <col min="14592" max="14592" width="5.28515625" style="190" customWidth="1"/>
    <col min="14593" max="14593" width="37.28515625" style="190" bestFit="1" customWidth="1"/>
    <col min="14594" max="14594" width="15.28515625" style="190" customWidth="1"/>
    <col min="14595" max="14595" width="3.28515625" style="190" customWidth="1"/>
    <col min="14596" max="14598" width="15.28515625" style="190" customWidth="1"/>
    <col min="14599" max="14599" width="14" style="190" customWidth="1"/>
    <col min="14600" max="14600" width="14.28515625" style="190" customWidth="1"/>
    <col min="14601" max="14601" width="11.85546875" style="190" customWidth="1"/>
    <col min="14602" max="14602" width="14.42578125" style="190" customWidth="1"/>
    <col min="14603" max="14603" width="12.5703125" style="190" customWidth="1"/>
    <col min="14604" max="14606" width="15.28515625" style="190" customWidth="1"/>
    <col min="14607" max="14607" width="12.42578125" style="190" customWidth="1"/>
    <col min="14608" max="14608" width="15.28515625" style="190" customWidth="1"/>
    <col min="14609" max="14847" width="9.140625" style="190"/>
    <col min="14848" max="14848" width="5.28515625" style="190" customWidth="1"/>
    <col min="14849" max="14849" width="37.28515625" style="190" bestFit="1" customWidth="1"/>
    <col min="14850" max="14850" width="15.28515625" style="190" customWidth="1"/>
    <col min="14851" max="14851" width="3.28515625" style="190" customWidth="1"/>
    <col min="14852" max="14854" width="15.28515625" style="190" customWidth="1"/>
    <col min="14855" max="14855" width="14" style="190" customWidth="1"/>
    <col min="14856" max="14856" width="14.28515625" style="190" customWidth="1"/>
    <col min="14857" max="14857" width="11.85546875" style="190" customWidth="1"/>
    <col min="14858" max="14858" width="14.42578125" style="190" customWidth="1"/>
    <col min="14859" max="14859" width="12.5703125" style="190" customWidth="1"/>
    <col min="14860" max="14862" width="15.28515625" style="190" customWidth="1"/>
    <col min="14863" max="14863" width="12.42578125" style="190" customWidth="1"/>
    <col min="14864" max="14864" width="15.28515625" style="190" customWidth="1"/>
    <col min="14865" max="15103" width="9.140625" style="190"/>
    <col min="15104" max="15104" width="5.28515625" style="190" customWidth="1"/>
    <col min="15105" max="15105" width="37.28515625" style="190" bestFit="1" customWidth="1"/>
    <col min="15106" max="15106" width="15.28515625" style="190" customWidth="1"/>
    <col min="15107" max="15107" width="3.28515625" style="190" customWidth="1"/>
    <col min="15108" max="15110" width="15.28515625" style="190" customWidth="1"/>
    <col min="15111" max="15111" width="14" style="190" customWidth="1"/>
    <col min="15112" max="15112" width="14.28515625" style="190" customWidth="1"/>
    <col min="15113" max="15113" width="11.85546875" style="190" customWidth="1"/>
    <col min="15114" max="15114" width="14.42578125" style="190" customWidth="1"/>
    <col min="15115" max="15115" width="12.5703125" style="190" customWidth="1"/>
    <col min="15116" max="15118" width="15.28515625" style="190" customWidth="1"/>
    <col min="15119" max="15119" width="12.42578125" style="190" customWidth="1"/>
    <col min="15120" max="15120" width="15.28515625" style="190" customWidth="1"/>
    <col min="15121" max="15359" width="9.140625" style="190"/>
    <col min="15360" max="15360" width="5.28515625" style="190" customWidth="1"/>
    <col min="15361" max="15361" width="37.28515625" style="190" bestFit="1" customWidth="1"/>
    <col min="15362" max="15362" width="15.28515625" style="190" customWidth="1"/>
    <col min="15363" max="15363" width="3.28515625" style="190" customWidth="1"/>
    <col min="15364" max="15366" width="15.28515625" style="190" customWidth="1"/>
    <col min="15367" max="15367" width="14" style="190" customWidth="1"/>
    <col min="15368" max="15368" width="14.28515625" style="190" customWidth="1"/>
    <col min="15369" max="15369" width="11.85546875" style="190" customWidth="1"/>
    <col min="15370" max="15370" width="14.42578125" style="190" customWidth="1"/>
    <col min="15371" max="15371" width="12.5703125" style="190" customWidth="1"/>
    <col min="15372" max="15374" width="15.28515625" style="190" customWidth="1"/>
    <col min="15375" max="15375" width="12.42578125" style="190" customWidth="1"/>
    <col min="15376" max="15376" width="15.28515625" style="190" customWidth="1"/>
    <col min="15377" max="15615" width="9.140625" style="190"/>
    <col min="15616" max="15616" width="5.28515625" style="190" customWidth="1"/>
    <col min="15617" max="15617" width="37.28515625" style="190" bestFit="1" customWidth="1"/>
    <col min="15618" max="15618" width="15.28515625" style="190" customWidth="1"/>
    <col min="15619" max="15619" width="3.28515625" style="190" customWidth="1"/>
    <col min="15620" max="15622" width="15.28515625" style="190" customWidth="1"/>
    <col min="15623" max="15623" width="14" style="190" customWidth="1"/>
    <col min="15624" max="15624" width="14.28515625" style="190" customWidth="1"/>
    <col min="15625" max="15625" width="11.85546875" style="190" customWidth="1"/>
    <col min="15626" max="15626" width="14.42578125" style="190" customWidth="1"/>
    <col min="15627" max="15627" width="12.5703125" style="190" customWidth="1"/>
    <col min="15628" max="15630" width="15.28515625" style="190" customWidth="1"/>
    <col min="15631" max="15631" width="12.42578125" style="190" customWidth="1"/>
    <col min="15632" max="15632" width="15.28515625" style="190" customWidth="1"/>
    <col min="15633" max="15871" width="9.140625" style="190"/>
    <col min="15872" max="15872" width="5.28515625" style="190" customWidth="1"/>
    <col min="15873" max="15873" width="37.28515625" style="190" bestFit="1" customWidth="1"/>
    <col min="15874" max="15874" width="15.28515625" style="190" customWidth="1"/>
    <col min="15875" max="15875" width="3.28515625" style="190" customWidth="1"/>
    <col min="15876" max="15878" width="15.28515625" style="190" customWidth="1"/>
    <col min="15879" max="15879" width="14" style="190" customWidth="1"/>
    <col min="15880" max="15880" width="14.28515625" style="190" customWidth="1"/>
    <col min="15881" max="15881" width="11.85546875" style="190" customWidth="1"/>
    <col min="15882" max="15882" width="14.42578125" style="190" customWidth="1"/>
    <col min="15883" max="15883" width="12.5703125" style="190" customWidth="1"/>
    <col min="15884" max="15886" width="15.28515625" style="190" customWidth="1"/>
    <col min="15887" max="15887" width="12.42578125" style="190" customWidth="1"/>
    <col min="15888" max="15888" width="15.28515625" style="190" customWidth="1"/>
    <col min="15889" max="16127" width="9.140625" style="190"/>
    <col min="16128" max="16128" width="5.28515625" style="190" customWidth="1"/>
    <col min="16129" max="16129" width="37.28515625" style="190" bestFit="1" customWidth="1"/>
    <col min="16130" max="16130" width="15.28515625" style="190" customWidth="1"/>
    <col min="16131" max="16131" width="3.28515625" style="190" customWidth="1"/>
    <col min="16132" max="16134" width="15.28515625" style="190" customWidth="1"/>
    <col min="16135" max="16135" width="14" style="190" customWidth="1"/>
    <col min="16136" max="16136" width="14.28515625" style="190" customWidth="1"/>
    <col min="16137" max="16137" width="11.85546875" style="190" customWidth="1"/>
    <col min="16138" max="16138" width="14.42578125" style="190" customWidth="1"/>
    <col min="16139" max="16139" width="12.5703125" style="190" customWidth="1"/>
    <col min="16140" max="16142" width="15.28515625" style="190" customWidth="1"/>
    <col min="16143" max="16143" width="12.42578125" style="190" customWidth="1"/>
    <col min="16144" max="16144" width="15.28515625" style="190" customWidth="1"/>
    <col min="16145" max="16384" width="9.140625" style="190"/>
  </cols>
  <sheetData>
    <row r="1" spans="1:17" x14ac:dyDescent="0.2">
      <c r="A1" s="337" t="s">
        <v>16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</row>
    <row r="2" spans="1:17" x14ac:dyDescent="0.2">
      <c r="A2" s="337" t="s">
        <v>257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7" x14ac:dyDescent="0.2">
      <c r="A3" s="337" t="s">
        <v>258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7" ht="13.15" customHeight="1" x14ac:dyDescent="0.2">
      <c r="A4" s="337" t="s">
        <v>259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</row>
    <row r="6" spans="1:17" ht="33.75" x14ac:dyDescent="0.2">
      <c r="A6" s="200" t="s">
        <v>15</v>
      </c>
      <c r="B6" s="200" t="s">
        <v>260</v>
      </c>
      <c r="C6" s="200" t="s">
        <v>261</v>
      </c>
      <c r="D6" s="200"/>
      <c r="E6" s="200" t="s">
        <v>262</v>
      </c>
      <c r="F6" s="200" t="s">
        <v>263</v>
      </c>
      <c r="G6" s="200" t="s">
        <v>264</v>
      </c>
      <c r="H6" s="200" t="s">
        <v>265</v>
      </c>
      <c r="I6" s="200" t="s">
        <v>266</v>
      </c>
      <c r="J6" s="200" t="s">
        <v>267</v>
      </c>
      <c r="K6" s="200" t="s">
        <v>268</v>
      </c>
      <c r="L6" s="200" t="s">
        <v>269</v>
      </c>
      <c r="M6" s="200" t="s">
        <v>270</v>
      </c>
      <c r="N6" s="200" t="s">
        <v>271</v>
      </c>
      <c r="O6" s="200" t="s">
        <v>272</v>
      </c>
      <c r="P6" s="200" t="s">
        <v>273</v>
      </c>
    </row>
    <row r="7" spans="1:17" ht="12.75" customHeight="1" x14ac:dyDescent="0.2">
      <c r="A7" s="201"/>
      <c r="B7" s="202" t="s">
        <v>13</v>
      </c>
      <c r="C7" s="202" t="s">
        <v>12</v>
      </c>
      <c r="D7" s="202"/>
      <c r="E7" s="202" t="s">
        <v>11</v>
      </c>
      <c r="F7" s="202" t="s">
        <v>10</v>
      </c>
      <c r="G7" s="202" t="s">
        <v>9</v>
      </c>
      <c r="H7" s="202" t="s">
        <v>7</v>
      </c>
      <c r="I7" s="202" t="s">
        <v>6</v>
      </c>
      <c r="J7" s="202" t="s">
        <v>5</v>
      </c>
      <c r="K7" s="202" t="s">
        <v>4</v>
      </c>
      <c r="L7" s="202" t="s">
        <v>3</v>
      </c>
      <c r="M7" s="202" t="s">
        <v>2</v>
      </c>
      <c r="N7" s="202" t="s">
        <v>1</v>
      </c>
      <c r="O7" s="202" t="s">
        <v>0</v>
      </c>
      <c r="P7" s="202" t="s">
        <v>19</v>
      </c>
    </row>
    <row r="8" spans="1:17" ht="12.75" customHeight="1" x14ac:dyDescent="0.2">
      <c r="C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pans="1:17" ht="12.75" customHeight="1" x14ac:dyDescent="0.2">
      <c r="A9" s="203">
        <v>1</v>
      </c>
      <c r="B9" s="189" t="s">
        <v>102</v>
      </c>
      <c r="C9" s="214">
        <f>SUM(E9:P9)</f>
        <v>22028705616.757526</v>
      </c>
      <c r="D9" s="214"/>
      <c r="E9" s="242">
        <v>11476152247.161776</v>
      </c>
      <c r="F9" s="242">
        <v>2915955626.4103169</v>
      </c>
      <c r="G9" s="242">
        <v>3242765959.9604325</v>
      </c>
      <c r="H9" s="242">
        <v>2092770306.5275679</v>
      </c>
      <c r="I9" s="242">
        <v>1456029850.0547175</v>
      </c>
      <c r="J9" s="242">
        <v>4597572.0317007378</v>
      </c>
      <c r="K9" s="242">
        <v>126890757.18193617</v>
      </c>
      <c r="L9" s="242">
        <v>0</v>
      </c>
      <c r="M9" s="242">
        <v>630228919.26662493</v>
      </c>
      <c r="N9" s="242">
        <v>0</v>
      </c>
      <c r="O9" s="242">
        <v>75887375.026475519</v>
      </c>
      <c r="P9" s="242">
        <v>7427003.1359829875</v>
      </c>
      <c r="Q9" s="188"/>
    </row>
    <row r="10" spans="1:17" ht="12.75" customHeight="1" x14ac:dyDescent="0.2">
      <c r="A10" s="203">
        <f t="shared" ref="A10:A30" si="0">+A9+1</f>
        <v>2</v>
      </c>
      <c r="B10" s="189" t="s">
        <v>103</v>
      </c>
      <c r="C10" s="214">
        <f>SUM(E10:P10)</f>
        <v>3877885.5466519948</v>
      </c>
      <c r="D10" s="214"/>
      <c r="E10" s="242">
        <v>2236474.2253660602</v>
      </c>
      <c r="F10" s="242">
        <v>515625.82524854271</v>
      </c>
      <c r="G10" s="242">
        <v>551893.91878041346</v>
      </c>
      <c r="H10" s="242">
        <v>289974.91765494185</v>
      </c>
      <c r="I10" s="242">
        <v>204844.84270926949</v>
      </c>
      <c r="J10" s="242">
        <v>7.0004300675974864</v>
      </c>
      <c r="K10" s="242">
        <v>0</v>
      </c>
      <c r="L10" s="242">
        <v>0</v>
      </c>
      <c r="M10" s="242">
        <v>69577.130407689765</v>
      </c>
      <c r="N10" s="242">
        <v>0</v>
      </c>
      <c r="O10" s="242">
        <v>8059.2720272472116</v>
      </c>
      <c r="P10" s="242">
        <v>1428.4140277629981</v>
      </c>
    </row>
    <row r="11" spans="1:17" ht="12.75" customHeight="1" x14ac:dyDescent="0.2">
      <c r="A11" s="203">
        <f t="shared" si="0"/>
        <v>3</v>
      </c>
      <c r="B11" s="204" t="s">
        <v>92</v>
      </c>
      <c r="C11" s="51">
        <f>SUM(E11:P11)</f>
        <v>1.0000000000000002</v>
      </c>
      <c r="D11" s="191"/>
      <c r="E11" s="243">
        <v>0.53490394182524048</v>
      </c>
      <c r="F11" s="243">
        <v>0.13251946891550651</v>
      </c>
      <c r="G11" s="243">
        <v>0.14598434799587429</v>
      </c>
      <c r="H11" s="243">
        <v>8.9945611770081077E-2</v>
      </c>
      <c r="I11" s="243">
        <v>6.2778661145608983E-2</v>
      </c>
      <c r="J11" s="243">
        <v>1.5698247276645428E-4</v>
      </c>
      <c r="K11" s="243">
        <v>4.3201842878165531E-3</v>
      </c>
      <c r="L11" s="243">
        <v>0</v>
      </c>
      <c r="M11" s="243">
        <v>2.594258653742372E-2</v>
      </c>
      <c r="N11" s="243">
        <v>0</v>
      </c>
      <c r="O11" s="243">
        <v>3.1032645268981099E-3</v>
      </c>
      <c r="P11" s="243">
        <v>3.4495052278399948E-4</v>
      </c>
    </row>
    <row r="12" spans="1:17" ht="12.75" customHeight="1" x14ac:dyDescent="0.2">
      <c r="A12" s="203">
        <f t="shared" si="0"/>
        <v>4</v>
      </c>
      <c r="B12" s="205" t="s">
        <v>93</v>
      </c>
      <c r="C12" s="244">
        <v>0.75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</row>
    <row r="13" spans="1:17" ht="12.75" customHeight="1" x14ac:dyDescent="0.2">
      <c r="A13" s="203">
        <f t="shared" si="0"/>
        <v>5</v>
      </c>
      <c r="B13" s="205" t="s">
        <v>94</v>
      </c>
      <c r="C13" s="244">
        <v>0.25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</row>
    <row r="14" spans="1:17" ht="12.75" customHeight="1" x14ac:dyDescent="0.2">
      <c r="A14" s="203">
        <f t="shared" si="0"/>
        <v>6</v>
      </c>
      <c r="C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</row>
    <row r="15" spans="1:17" ht="12.75" customHeight="1" x14ac:dyDescent="0.2">
      <c r="A15" s="203">
        <f t="shared" si="0"/>
        <v>7</v>
      </c>
      <c r="B15" s="204" t="s">
        <v>104</v>
      </c>
      <c r="C15" s="192">
        <f>SUM(E15:P15)</f>
        <v>2204186896.0480328</v>
      </c>
      <c r="E15" s="241">
        <v>1272189559.9573414</v>
      </c>
      <c r="F15" s="241">
        <v>277804874.76682806</v>
      </c>
      <c r="G15" s="241">
        <v>279245517.87218565</v>
      </c>
      <c r="H15" s="241">
        <v>162369227.79360747</v>
      </c>
      <c r="I15" s="241">
        <v>119008339.83619021</v>
      </c>
      <c r="J15" s="241">
        <v>488292.30479434563</v>
      </c>
      <c r="K15" s="241">
        <v>11918872.828783104</v>
      </c>
      <c r="L15" s="241">
        <v>5906781.5172387296</v>
      </c>
      <c r="M15" s="241">
        <v>43054222.042309165</v>
      </c>
      <c r="N15" s="241">
        <v>12792742.207745656</v>
      </c>
      <c r="O15" s="241">
        <v>18685997.08218123</v>
      </c>
      <c r="P15" s="241">
        <v>722467.83882742166</v>
      </c>
    </row>
    <row r="16" spans="1:17" ht="12.75" customHeight="1" x14ac:dyDescent="0.2">
      <c r="A16" s="203">
        <f t="shared" si="0"/>
        <v>8</v>
      </c>
      <c r="B16" s="189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</row>
    <row r="17" spans="1:16" ht="12.75" customHeight="1" x14ac:dyDescent="0.2">
      <c r="A17" s="203">
        <f t="shared" si="0"/>
        <v>9</v>
      </c>
      <c r="B17" s="189" t="s">
        <v>105</v>
      </c>
      <c r="C17" s="192">
        <f>SUM(E17:P17)</f>
        <v>2112174951.4153712</v>
      </c>
      <c r="E17" s="241">
        <v>1221804098.8634517</v>
      </c>
      <c r="F17" s="241">
        <v>264877298.8924548</v>
      </c>
      <c r="G17" s="241">
        <v>268889992.74233669</v>
      </c>
      <c r="H17" s="241">
        <v>156322135.02193627</v>
      </c>
      <c r="I17" s="241">
        <v>114255784.91893402</v>
      </c>
      <c r="J17" s="241">
        <v>471153.413162563</v>
      </c>
      <c r="K17" s="241">
        <v>11550026.018382926</v>
      </c>
      <c r="L17" s="241">
        <v>4798544.2792558782</v>
      </c>
      <c r="M17" s="241">
        <v>38418784.262285344</v>
      </c>
      <c r="N17" s="241">
        <v>11716071.281466989</v>
      </c>
      <c r="O17" s="241">
        <v>18379415.193841927</v>
      </c>
      <c r="P17" s="241">
        <v>691646.52786198317</v>
      </c>
    </row>
    <row r="18" spans="1:16" ht="12.75" customHeight="1" x14ac:dyDescent="0.2">
      <c r="A18" s="203">
        <f t="shared" si="0"/>
        <v>10</v>
      </c>
      <c r="C18" s="192"/>
      <c r="E18" s="206"/>
    </row>
    <row r="19" spans="1:16" ht="12.75" customHeight="1" x14ac:dyDescent="0.2">
      <c r="A19" s="203">
        <f t="shared" si="0"/>
        <v>11</v>
      </c>
      <c r="B19" s="189" t="s">
        <v>106</v>
      </c>
      <c r="C19" s="186">
        <f>'Exhibit A-1 (Revised)'!F38</f>
        <v>478596277.48581499</v>
      </c>
      <c r="E19" s="221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</row>
    <row r="20" spans="1:16" ht="12.75" customHeight="1" x14ac:dyDescent="0.2">
      <c r="A20" s="203">
        <f t="shared" si="0"/>
        <v>12</v>
      </c>
      <c r="B20" s="189" t="s">
        <v>107</v>
      </c>
      <c r="C20" s="187">
        <f>'Exhibit A-1 (Revised)'!G38</f>
        <v>750331604.45554197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</row>
    <row r="21" spans="1:16" ht="12.75" customHeight="1" x14ac:dyDescent="0.2">
      <c r="A21" s="203">
        <f t="shared" si="0"/>
        <v>13</v>
      </c>
      <c r="B21" s="189" t="s">
        <v>108</v>
      </c>
      <c r="C21" s="192">
        <f>SUM(C19:C20)</f>
        <v>1228927881.9413569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</row>
    <row r="22" spans="1:16" ht="12.75" customHeight="1" x14ac:dyDescent="0.2">
      <c r="A22" s="203">
        <f t="shared" si="0"/>
        <v>14</v>
      </c>
      <c r="B22" s="189"/>
      <c r="C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</row>
    <row r="23" spans="1:16" ht="12.75" customHeight="1" x14ac:dyDescent="0.2">
      <c r="A23" s="203">
        <f t="shared" si="0"/>
        <v>15</v>
      </c>
      <c r="B23" s="204" t="s">
        <v>95</v>
      </c>
      <c r="C23" s="192">
        <f>SUM(E23:P23)</f>
        <v>478596277.48581505</v>
      </c>
      <c r="E23" s="192">
        <f t="shared" ref="E23:P23" si="1">+$C$19*E$11</f>
        <v>256003035.37004903</v>
      </c>
      <c r="F23" s="192">
        <f t="shared" si="1"/>
        <v>63423324.517358586</v>
      </c>
      <c r="G23" s="192">
        <f t="shared" si="1"/>
        <v>69867565.522019222</v>
      </c>
      <c r="H23" s="192">
        <f t="shared" si="1"/>
        <v>43047634.969345108</v>
      </c>
      <c r="I23" s="192">
        <f t="shared" si="1"/>
        <v>30045633.52983183</v>
      </c>
      <c r="J23" s="192">
        <f t="shared" si="1"/>
        <v>75131.227096543342</v>
      </c>
      <c r="K23" s="192">
        <f t="shared" si="1"/>
        <v>2067624.1182017091</v>
      </c>
      <c r="L23" s="192">
        <f t="shared" si="1"/>
        <v>0</v>
      </c>
      <c r="M23" s="192">
        <f t="shared" si="1"/>
        <v>12416025.345164612</v>
      </c>
      <c r="N23" s="192">
        <f t="shared" si="1"/>
        <v>0</v>
      </c>
      <c r="O23" s="192">
        <f t="shared" si="1"/>
        <v>1485210.8506272142</v>
      </c>
      <c r="P23" s="192">
        <f t="shared" si="1"/>
        <v>165092.03612120796</v>
      </c>
    </row>
    <row r="24" spans="1:16" ht="12.75" customHeight="1" x14ac:dyDescent="0.2">
      <c r="A24" s="203">
        <f t="shared" si="0"/>
        <v>16</v>
      </c>
      <c r="B24" s="204" t="s">
        <v>96</v>
      </c>
      <c r="C24" s="215">
        <f>SUM(E24:P24)</f>
        <v>750331604.45554209</v>
      </c>
      <c r="D24" s="29"/>
      <c r="E24" s="215">
        <f t="shared" ref="E24:P24" si="2">+$C$20*E$11</f>
        <v>401355332.89932656</v>
      </c>
      <c r="F24" s="215">
        <f t="shared" si="2"/>
        <v>99433545.732968315</v>
      </c>
      <c r="G24" s="215">
        <f t="shared" si="2"/>
        <v>109536670.05714053</v>
      </c>
      <c r="H24" s="215">
        <f t="shared" si="2"/>
        <v>67489035.193180218</v>
      </c>
      <c r="I24" s="215">
        <f t="shared" si="2"/>
        <v>47104813.542955577</v>
      </c>
      <c r="J24" s="215">
        <f t="shared" si="2"/>
        <v>117788.91066225206</v>
      </c>
      <c r="K24" s="215">
        <f t="shared" si="2"/>
        <v>3241570.808221017</v>
      </c>
      <c r="L24" s="215">
        <f t="shared" si="2"/>
        <v>0</v>
      </c>
      <c r="M24" s="215">
        <f t="shared" si="2"/>
        <v>19465542.580351882</v>
      </c>
      <c r="N24" s="215">
        <f t="shared" si="2"/>
        <v>0</v>
      </c>
      <c r="O24" s="215">
        <f t="shared" si="2"/>
        <v>2328477.4515174273</v>
      </c>
      <c r="P24" s="215">
        <f t="shared" si="2"/>
        <v>258827.27921829632</v>
      </c>
    </row>
    <row r="25" spans="1:16" ht="12.75" customHeight="1" x14ac:dyDescent="0.2">
      <c r="A25" s="203">
        <f t="shared" si="0"/>
        <v>17</v>
      </c>
      <c r="B25" s="205" t="s">
        <v>97</v>
      </c>
      <c r="C25" s="192">
        <f>SUM(E25:P25)</f>
        <v>1228927881.9413574</v>
      </c>
      <c r="E25" s="192">
        <f t="shared" ref="E25:P25" si="3">SUM(E23:E24)</f>
        <v>657358368.26937556</v>
      </c>
      <c r="F25" s="192">
        <f t="shared" si="3"/>
        <v>162856870.2503269</v>
      </c>
      <c r="G25" s="192">
        <f t="shared" si="3"/>
        <v>179404235.57915974</v>
      </c>
      <c r="H25" s="192">
        <f t="shared" si="3"/>
        <v>110536670.16252533</v>
      </c>
      <c r="I25" s="192">
        <f t="shared" si="3"/>
        <v>77150447.072787404</v>
      </c>
      <c r="J25" s="192">
        <f t="shared" si="3"/>
        <v>192920.1377587954</v>
      </c>
      <c r="K25" s="192">
        <f t="shared" si="3"/>
        <v>5309194.9264227264</v>
      </c>
      <c r="L25" s="192">
        <f t="shared" si="3"/>
        <v>0</v>
      </c>
      <c r="M25" s="192">
        <f t="shared" si="3"/>
        <v>31881567.925516494</v>
      </c>
      <c r="N25" s="192">
        <f t="shared" si="3"/>
        <v>0</v>
      </c>
      <c r="O25" s="192">
        <f t="shared" si="3"/>
        <v>3813688.3021446415</v>
      </c>
      <c r="P25" s="192">
        <f t="shared" si="3"/>
        <v>423919.31533950428</v>
      </c>
    </row>
    <row r="26" spans="1:16" ht="12.75" customHeight="1" x14ac:dyDescent="0.2">
      <c r="A26" s="203">
        <f t="shared" si="0"/>
        <v>18</v>
      </c>
      <c r="B26" s="189"/>
      <c r="C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</row>
    <row r="27" spans="1:16" ht="12.75" customHeight="1" x14ac:dyDescent="0.2">
      <c r="A27" s="203">
        <f t="shared" si="0"/>
        <v>19</v>
      </c>
      <c r="B27" s="189" t="s">
        <v>98</v>
      </c>
    </row>
    <row r="28" spans="1:16" ht="12.75" customHeight="1" x14ac:dyDescent="0.2">
      <c r="A28" s="203">
        <f t="shared" si="0"/>
        <v>20</v>
      </c>
      <c r="B28" s="189" t="s">
        <v>99</v>
      </c>
      <c r="C28" s="191">
        <f>SUM(E28:P28)</f>
        <v>0.74999999999999978</v>
      </c>
      <c r="D28" s="191"/>
      <c r="E28" s="191">
        <f>ROUND(+$C$12*E9/$C$9,6)-0.000001</f>
        <v>0.39072200000000001</v>
      </c>
      <c r="F28" s="191">
        <f t="shared" ref="F28:P28" si="4">ROUND(+$C$12*F9/$C$9,6)</f>
        <v>9.9278000000000005E-2</v>
      </c>
      <c r="G28" s="191">
        <f t="shared" si="4"/>
        <v>0.110405</v>
      </c>
      <c r="H28" s="191">
        <f t="shared" si="4"/>
        <v>7.1250999999999995E-2</v>
      </c>
      <c r="I28" s="191">
        <f t="shared" si="4"/>
        <v>4.9572999999999999E-2</v>
      </c>
      <c r="J28" s="191">
        <f t="shared" si="4"/>
        <v>1.5699999999999999E-4</v>
      </c>
      <c r="K28" s="191">
        <f t="shared" si="4"/>
        <v>4.3200000000000001E-3</v>
      </c>
      <c r="L28" s="191">
        <f t="shared" si="4"/>
        <v>0</v>
      </c>
      <c r="M28" s="191">
        <f t="shared" si="4"/>
        <v>2.1457E-2</v>
      </c>
      <c r="N28" s="191">
        <f t="shared" si="4"/>
        <v>0</v>
      </c>
      <c r="O28" s="191">
        <f t="shared" si="4"/>
        <v>2.5839999999999999E-3</v>
      </c>
      <c r="P28" s="191">
        <f t="shared" si="4"/>
        <v>2.5300000000000002E-4</v>
      </c>
    </row>
    <row r="29" spans="1:16" ht="12.75" customHeight="1" x14ac:dyDescent="0.2">
      <c r="A29" s="203">
        <f t="shared" si="0"/>
        <v>21</v>
      </c>
      <c r="B29" s="189" t="s">
        <v>100</v>
      </c>
      <c r="C29" s="30">
        <f>SUM(E29:P29)</f>
        <v>0.24999899999999997</v>
      </c>
      <c r="D29" s="30"/>
      <c r="E29" s="30">
        <f>ROUND(+$C$13*E10/$C$10,6)-0.000001</f>
        <v>0.14418</v>
      </c>
      <c r="F29" s="30">
        <f t="shared" ref="F29:P29" si="5">ROUND(+$C$13*F10/$C$10,6)</f>
        <v>3.3241E-2</v>
      </c>
      <c r="G29" s="30">
        <f t="shared" si="5"/>
        <v>3.5580000000000001E-2</v>
      </c>
      <c r="H29" s="30">
        <f t="shared" si="5"/>
        <v>1.8693999999999999E-2</v>
      </c>
      <c r="I29" s="30">
        <f t="shared" si="5"/>
        <v>1.3206000000000001E-2</v>
      </c>
      <c r="J29" s="30">
        <f t="shared" si="5"/>
        <v>0</v>
      </c>
      <c r="K29" s="30">
        <f t="shared" si="5"/>
        <v>0</v>
      </c>
      <c r="L29" s="30">
        <f t="shared" si="5"/>
        <v>0</v>
      </c>
      <c r="M29" s="30">
        <f t="shared" si="5"/>
        <v>4.4860000000000004E-3</v>
      </c>
      <c r="N29" s="30">
        <f t="shared" si="5"/>
        <v>0</v>
      </c>
      <c r="O29" s="30">
        <f t="shared" si="5"/>
        <v>5.1999999999999995E-4</v>
      </c>
      <c r="P29" s="30">
        <f t="shared" si="5"/>
        <v>9.2E-5</v>
      </c>
    </row>
    <row r="30" spans="1:16" ht="12.75" customHeight="1" x14ac:dyDescent="0.2">
      <c r="A30" s="203">
        <f t="shared" si="0"/>
        <v>22</v>
      </c>
      <c r="B30" s="189" t="s">
        <v>101</v>
      </c>
      <c r="C30" s="191">
        <f>SUM(E30:P30)</f>
        <v>0.99999900000000008</v>
      </c>
      <c r="E30" s="191">
        <f t="shared" ref="E30:P30" si="6">SUM(E28:E29)</f>
        <v>0.53490199999999999</v>
      </c>
      <c r="F30" s="191">
        <f t="shared" si="6"/>
        <v>0.132519</v>
      </c>
      <c r="G30" s="191">
        <f t="shared" si="6"/>
        <v>0.145985</v>
      </c>
      <c r="H30" s="191">
        <f t="shared" si="6"/>
        <v>8.9944999999999997E-2</v>
      </c>
      <c r="I30" s="191">
        <f t="shared" si="6"/>
        <v>6.2779000000000001E-2</v>
      </c>
      <c r="J30" s="191">
        <f t="shared" si="6"/>
        <v>1.5699999999999999E-4</v>
      </c>
      <c r="K30" s="191">
        <f t="shared" si="6"/>
        <v>4.3200000000000001E-3</v>
      </c>
      <c r="L30" s="191">
        <f t="shared" si="6"/>
        <v>0</v>
      </c>
      <c r="M30" s="191">
        <f t="shared" si="6"/>
        <v>2.5943000000000001E-2</v>
      </c>
      <c r="N30" s="191">
        <f t="shared" si="6"/>
        <v>0</v>
      </c>
      <c r="O30" s="191">
        <f t="shared" si="6"/>
        <v>3.104E-3</v>
      </c>
      <c r="P30" s="191">
        <f t="shared" si="6"/>
        <v>3.4500000000000004E-4</v>
      </c>
    </row>
    <row r="31" spans="1:16" x14ac:dyDescent="0.2">
      <c r="A31" s="203"/>
    </row>
    <row r="32" spans="1:16" x14ac:dyDescent="0.2">
      <c r="A32" s="206"/>
    </row>
    <row r="33" spans="1:1" x14ac:dyDescent="0.2">
      <c r="A33" s="206"/>
    </row>
    <row r="34" spans="1:1" x14ac:dyDescent="0.2">
      <c r="A34" s="206"/>
    </row>
    <row r="35" spans="1:1" x14ac:dyDescent="0.2">
      <c r="A35" s="206"/>
    </row>
    <row r="36" spans="1:1" x14ac:dyDescent="0.2">
      <c r="A36" s="206"/>
    </row>
    <row r="37" spans="1:1" x14ac:dyDescent="0.2">
      <c r="A37" s="206"/>
    </row>
    <row r="38" spans="1:1" x14ac:dyDescent="0.2">
      <c r="A38" s="206"/>
    </row>
    <row r="39" spans="1:1" x14ac:dyDescent="0.2">
      <c r="A39" s="206"/>
    </row>
    <row r="40" spans="1:1" x14ac:dyDescent="0.2">
      <c r="A40" s="206"/>
    </row>
    <row r="41" spans="1:1" x14ac:dyDescent="0.2">
      <c r="A41" s="206"/>
    </row>
    <row r="42" spans="1:1" x14ac:dyDescent="0.2">
      <c r="A42" s="206"/>
    </row>
    <row r="43" spans="1:1" x14ac:dyDescent="0.2">
      <c r="A43" s="206"/>
    </row>
    <row r="44" spans="1:1" x14ac:dyDescent="0.2">
      <c r="A44" s="206"/>
    </row>
    <row r="45" spans="1:1" x14ac:dyDescent="0.2">
      <c r="A45" s="206"/>
    </row>
    <row r="46" spans="1:1" x14ac:dyDescent="0.2">
      <c r="A46" s="206"/>
    </row>
    <row r="47" spans="1:1" x14ac:dyDescent="0.2">
      <c r="A47" s="206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83F59E3690204AB4465162B397D7A2" ma:contentTypeVersion="44" ma:contentTypeDescription="" ma:contentTypeScope="" ma:versionID="61117eb8877e79ce52d690c97e5868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2020-11-06T08:00:00+00:00</OpenedDate>
    <SignificantOrder xmlns="dc463f71-b30c-4ab2-9473-d307f9d35888">false</SignificantOrder>
    <Date1 xmlns="dc463f71-b30c-4ab2-9473-d307f9d35888">2020-11-06T08:00:00+00:00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200907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30B62FE-86BE-4E7B-8D35-DC51923C5E2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9978E21-9839-4758-A9BD-3FE9C008587E}"/>
</file>

<file path=customXml/itemProps3.xml><?xml version="1.0" encoding="utf-8"?>
<ds:datastoreItem xmlns:ds="http://schemas.openxmlformats.org/officeDocument/2006/customXml" ds:itemID="{24B9577F-3FD7-48CD-A133-7A3C761D62E5}"/>
</file>

<file path=customXml/itemProps4.xml><?xml version="1.0" encoding="utf-8"?>
<ds:datastoreItem xmlns:ds="http://schemas.openxmlformats.org/officeDocument/2006/customXml" ds:itemID="{3C17155B-D379-4EA5-B70B-D14C08316CA4}"/>
</file>

<file path=customXml/itemProps5.xml><?xml version="1.0" encoding="utf-8"?>
<ds:datastoreItem xmlns:ds="http://schemas.openxmlformats.org/officeDocument/2006/customXml" ds:itemID="{03761FA3-101C-4146-8BE1-6578D64D1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Exh. JAP-11 Page 1</vt:lpstr>
      <vt:lpstr>Exh. JAP-11 Page 2</vt:lpstr>
      <vt:lpstr>Exh. JAP-11 Page 3</vt:lpstr>
      <vt:lpstr>Exh. JAP-11 Page 3a</vt:lpstr>
      <vt:lpstr>Exh. JAP-11 Page 4 (Original)</vt:lpstr>
      <vt:lpstr>Exh. JAP-11 Page 4 (Revised)</vt:lpstr>
      <vt:lpstr>Work Papers For Exhibits--&gt;</vt:lpstr>
      <vt:lpstr>12ME Dec 2018 Cust Data</vt:lpstr>
      <vt:lpstr>2019 GRC PCA Cost (Revised)</vt:lpstr>
      <vt:lpstr>Exhibit A-1 (Revised)</vt:lpstr>
      <vt:lpstr>2019 GRC PCA Cost (Original)</vt:lpstr>
      <vt:lpstr>Exhibit A-1 (Original)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2019-06-06T22:52:22Z</cp:lastPrinted>
  <dcterms:created xsi:type="dcterms:W3CDTF">2012-10-25T22:13:28Z</dcterms:created>
  <dcterms:modified xsi:type="dcterms:W3CDTF">2020-11-04T20:01:08Z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0x0101006E56B4D1795A2E4DB2F0B01679ED314A002883F59E3690204AB4465162B397D7A2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