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1_{F976D2C2-C857-4672-A4F7-864D78111506}" xr6:coauthVersionLast="45" xr6:coauthVersionMax="45" xr10:uidLastSave="{00000000-0000-0000-0000-000000000000}"/>
  <bookViews>
    <workbookView xWindow="-28920" yWindow="1830" windowWidth="29040" windowHeight="15840" activeTab="4" xr2:uid="{00000000-000D-0000-FFFF-FFFF00000000}"/>
  </bookViews>
  <sheets>
    <sheet name="Table of Contents" sheetId="514" r:id="rId1"/>
    <sheet name="CPA Summary of Def. Accts." sheetId="449" r:id="rId2"/>
    <sheet name="CPA Proposed Rate 596" sheetId="483" r:id="rId3"/>
    <sheet name="CPA Amount of Change" sheetId="490" r:id="rId4"/>
    <sheet name="CPA Cost by Class" sheetId="473" r:id="rId5"/>
    <sheet name="CP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Workpapers---&gt;" sheetId="497" r:id="rId12"/>
    <sheet name="Balances at 7-31-2020" sheetId="511" r:id="rId13"/>
    <sheet name="Int calc thru 10-31-2020" sheetId="450" r:id="rId14"/>
    <sheet name="Amort Calc thru 10-31-2020" sheetId="454" r:id="rId15"/>
    <sheet name="EstimatedBalances" sheetId="512" r:id="rId16"/>
    <sheet name="Int during Amort" sheetId="513" r:id="rId17"/>
    <sheet name="Test Period Volumes" sheetId="452" r:id="rId18"/>
    <sheet name="Bills-Therms-Revs" sheetId="47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BalancesJuly" localSheetId="12">'Balances at 7-31-2020'!$A$9:$I$392</definedName>
    <definedName name="BalancesJuly">#REF!</definedName>
    <definedName name="EstimatedBalances" localSheetId="12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'[2]New FERC Int. Rates'!$A$44:$C$55</definedName>
    <definedName name="FERCINT06">'[2]New FERC Int. Rates'!$A$56:$C$67</definedName>
    <definedName name="FERCINT07">'[3]New FERC Int. Rates'!$A$68:$C$79</definedName>
    <definedName name="FERCINT08">'[3]New FERC Int. Rates'!$A$80:$C$94</definedName>
    <definedName name="FERCINT09">'[3]New FERC Int. Rates'!$A$95:$C$106</definedName>
    <definedName name="FERCINT10">'[2]New FERC Int. Rates'!$A$107:$C$118</definedName>
    <definedName name="FERCINTRATE">'[3]New FERC Int. Rates'!$A$5:$C$10</definedName>
    <definedName name="FERCINTRATE02">'[3]New FERC Int. Rates'!$A$11:$C$22</definedName>
    <definedName name="FERCINTRATE03">'[2]New FERC Int. Rates'!$A$23:$C$34</definedName>
    <definedName name="FERCOR">#REF!</definedName>
    <definedName name="FERCWA">#REF!</definedName>
    <definedName name="FILE" localSheetId="3">[4]input!$C$4</definedName>
    <definedName name="FILE">[4]input!$C$4</definedName>
    <definedName name="FORM2259">#REF!</definedName>
    <definedName name="Gas_Price_DataTable">#REF!</definedName>
    <definedName name="gas_yr2009_10_DataTable">#REF!</definedName>
    <definedName name="GC">[5]Notes!#REF!</definedName>
    <definedName name="intdate">'[6]Interest Rates'!$A$5:$C$159</definedName>
    <definedName name="InterestDuringAmort" localSheetId="12">'[1]Int during Amort'!$A$19:$S$33</definedName>
    <definedName name="InterestDuringAmort">#REF!</definedName>
    <definedName name="INTERSTATE" localSheetId="12">#REF!</definedName>
    <definedName name="INTERSTATE">#REF!</definedName>
    <definedName name="INTFY05">'[2]Int Rates DO NOT USE'!$A$176:$C$187</definedName>
    <definedName name="INTFY06">'[2]Int Rates DO NOT USE'!$A$188:$C$199</definedName>
    <definedName name="INTFY07">'[7]Interest Rates'!$A$218:$C$230</definedName>
    <definedName name="july_int_rate">'[8]July Int Rate for Amort'!$B$17</definedName>
    <definedName name="njnjn" localSheetId="12">#REF!</definedName>
    <definedName name="njnjn" localSheetId="3">#REF!</definedName>
    <definedName name="njnjn">#REF!</definedName>
    <definedName name="NN" localSheetId="12">[9]SETUP!#REF!</definedName>
    <definedName name="NN">[9]SETUP!#REF!</definedName>
    <definedName name="nnnnn" localSheetId="3">[10]Bills!#REF!</definedName>
    <definedName name="nnnnn">[10]Bills!#REF!</definedName>
    <definedName name="Oct_07">"INTCY08"</definedName>
    <definedName name="PGAPeriodVolumes" localSheetId="12">'[1]Test Period Volumes'!$A$23:$G$24</definedName>
    <definedName name="PGAPeriodVolumes">'Test Period Volumes'!$B$25:$E$26</definedName>
    <definedName name="_xlnm.Print_Area" localSheetId="18">'Bills-Therms-Revs'!$A$1:$O$50</definedName>
    <definedName name="_xlnm.Print_Area" localSheetId="2">'CPA Proposed Rate 596'!$B$1:$H$22</definedName>
    <definedName name="_xlnm.Print_Area" localSheetId="17">'Test Period Volumes'!$B$1:$I$35</definedName>
    <definedName name="_xlnm.Print_Titles" localSheetId="16">'Int during Amort'!$A:$C,'Int during Amort'!$7:$7</definedName>
    <definedName name="revsens">'[11]General Inputs'!$D$10</definedName>
    <definedName name="S">[9]SETUP!#REF!</definedName>
    <definedName name="SAVE">#REF!</definedName>
    <definedName name="scenario_2790_DataTable">#REF!</definedName>
    <definedName name="Sheet1_DataTable">#REF!</definedName>
    <definedName name="TestPeriodVolumes" localSheetId="12">'[1]Test Period Volumes'!$A$7:$G$21</definedName>
    <definedName name="TestPeriodVolumes">'Test Period Volumes'!$B$9:$E$23</definedName>
    <definedName name="WCALL">#N/A</definedName>
    <definedName name="xyz5" localSheetId="12">[12]!xyz5</definedName>
    <definedName name="xyz5" localSheetId="3">'CPA Amount of Change'!xyz5</definedName>
    <definedName name="xyz5">[0]!xyz5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490" l="1"/>
  <c r="I36" i="472" l="1"/>
  <c r="I35" i="472"/>
  <c r="I34" i="472"/>
  <c r="G36" i="472"/>
  <c r="G34" i="472"/>
  <c r="F20" i="472"/>
  <c r="F19" i="472"/>
  <c r="G11" i="513" l="1"/>
  <c r="I35" i="452"/>
  <c r="G13" i="449" s="1"/>
  <c r="I7" i="452" l="1"/>
  <c r="H22" i="490" l="1"/>
  <c r="H21" i="490"/>
  <c r="F22" i="490"/>
  <c r="F21" i="490"/>
  <c r="D16" i="483"/>
  <c r="D15" i="483"/>
  <c r="D14" i="483"/>
  <c r="D13" i="483"/>
  <c r="G1" i="483"/>
  <c r="L2" i="490" s="1"/>
  <c r="H1" i="473" s="1"/>
  <c r="K2" i="474" s="1"/>
  <c r="R15" i="513" l="1"/>
  <c r="R14" i="513"/>
  <c r="R13" i="513"/>
  <c r="R12" i="513"/>
  <c r="Q15" i="513"/>
  <c r="Q14" i="513"/>
  <c r="Q13" i="513"/>
  <c r="Q12" i="513"/>
  <c r="P15" i="513"/>
  <c r="P14" i="513"/>
  <c r="P13" i="513"/>
  <c r="P12" i="513"/>
  <c r="O15" i="513"/>
  <c r="O14" i="513"/>
  <c r="O13" i="513"/>
  <c r="O12" i="513"/>
  <c r="N15" i="513"/>
  <c r="N14" i="513"/>
  <c r="N13" i="513"/>
  <c r="N12" i="513"/>
  <c r="M15" i="513"/>
  <c r="M14" i="513"/>
  <c r="M13" i="513"/>
  <c r="M12" i="513"/>
  <c r="L15" i="513"/>
  <c r="L14" i="513"/>
  <c r="L13" i="513"/>
  <c r="L12" i="513"/>
  <c r="K15" i="513"/>
  <c r="K14" i="513"/>
  <c r="K13" i="513"/>
  <c r="K12" i="513"/>
  <c r="J15" i="513"/>
  <c r="J14" i="513"/>
  <c r="J13" i="513"/>
  <c r="J12" i="513"/>
  <c r="I15" i="513"/>
  <c r="I14" i="513"/>
  <c r="I13" i="513"/>
  <c r="I12" i="513"/>
  <c r="Q11" i="513"/>
  <c r="R11" i="513"/>
  <c r="P11" i="513"/>
  <c r="O11" i="513"/>
  <c r="N11" i="513"/>
  <c r="M11" i="513"/>
  <c r="L11" i="513"/>
  <c r="K11" i="513"/>
  <c r="J11" i="513"/>
  <c r="I11" i="513"/>
  <c r="H15" i="513"/>
  <c r="H14" i="513"/>
  <c r="H13" i="513"/>
  <c r="H12" i="513"/>
  <c r="H11" i="513"/>
  <c r="G15" i="513"/>
  <c r="G14" i="513"/>
  <c r="G13" i="513"/>
  <c r="G12" i="513"/>
  <c r="F11" i="454"/>
  <c r="F22" i="454" s="1"/>
  <c r="E11" i="454"/>
  <c r="E22" i="454" s="1"/>
  <c r="D11" i="454"/>
  <c r="I39" i="472" l="1"/>
  <c r="H17" i="490" s="1"/>
  <c r="H14" i="490"/>
  <c r="I18" i="452" l="1"/>
  <c r="I17" i="452"/>
  <c r="I16" i="452"/>
  <c r="I15" i="452"/>
  <c r="I14" i="452"/>
  <c r="I13" i="452"/>
  <c r="I12" i="452"/>
  <c r="I11" i="452"/>
  <c r="I10" i="452"/>
  <c r="I9" i="452"/>
  <c r="I8" i="452"/>
  <c r="H31" i="452" l="1"/>
  <c r="H30" i="452"/>
  <c r="H29" i="452"/>
  <c r="H28" i="452"/>
  <c r="H27" i="452"/>
  <c r="H26" i="452"/>
  <c r="H25" i="452"/>
  <c r="H24" i="452"/>
  <c r="H23" i="452"/>
  <c r="H22" i="452"/>
  <c r="H21" i="452"/>
  <c r="H20" i="452"/>
  <c r="H32" i="452" l="1"/>
  <c r="D12" i="454"/>
  <c r="H33" i="452"/>
  <c r="H35" i="452" s="1"/>
  <c r="E12" i="454"/>
  <c r="H34" i="452"/>
  <c r="F12" i="454"/>
  <c r="G26" i="452"/>
  <c r="G30" i="452"/>
  <c r="F23" i="452"/>
  <c r="F27" i="452"/>
  <c r="F31" i="452"/>
  <c r="G22" i="452"/>
  <c r="G34" i="452" s="1"/>
  <c r="G20" i="452"/>
  <c r="G32" i="452" s="1"/>
  <c r="G24" i="452"/>
  <c r="G28" i="452"/>
  <c r="F21" i="452"/>
  <c r="F33" i="452" s="1"/>
  <c r="F25" i="452"/>
  <c r="F29" i="452"/>
  <c r="C28" i="452"/>
  <c r="F30" i="452"/>
  <c r="F26" i="452"/>
  <c r="F22" i="452"/>
  <c r="F34" i="452" s="1"/>
  <c r="F20" i="452"/>
  <c r="F32" i="452" s="1"/>
  <c r="G23" i="452"/>
  <c r="C24" i="452"/>
  <c r="D27" i="452"/>
  <c r="G31" i="452"/>
  <c r="C20" i="452"/>
  <c r="F24" i="452"/>
  <c r="E27" i="452"/>
  <c r="D23" i="452"/>
  <c r="G27" i="452"/>
  <c r="D31" i="452"/>
  <c r="E23" i="452"/>
  <c r="F28" i="452"/>
  <c r="E31" i="452"/>
  <c r="G25" i="452"/>
  <c r="E25" i="452"/>
  <c r="E29" i="452"/>
  <c r="E20" i="452"/>
  <c r="E32" i="452" s="1"/>
  <c r="C21" i="452"/>
  <c r="E22" i="452"/>
  <c r="E34" i="452" s="1"/>
  <c r="C23" i="452"/>
  <c r="E24" i="452"/>
  <c r="C25" i="452"/>
  <c r="E26" i="452"/>
  <c r="C27" i="452"/>
  <c r="E28" i="452"/>
  <c r="C29" i="452"/>
  <c r="E30" i="452"/>
  <c r="C31" i="452"/>
  <c r="D21" i="452"/>
  <c r="D33" i="452" s="1"/>
  <c r="D25" i="452"/>
  <c r="G29" i="452"/>
  <c r="C30" i="452"/>
  <c r="G21" i="452"/>
  <c r="G33" i="452" s="1"/>
  <c r="D29" i="452"/>
  <c r="E21" i="452"/>
  <c r="E33" i="452" s="1"/>
  <c r="C22" i="452"/>
  <c r="C26" i="452"/>
  <c r="D20" i="452"/>
  <c r="D32" i="452" s="1"/>
  <c r="D22" i="452"/>
  <c r="D34" i="452" s="1"/>
  <c r="D24" i="452"/>
  <c r="D26" i="452"/>
  <c r="D28" i="452"/>
  <c r="D30" i="452"/>
  <c r="C34" i="452" l="1"/>
  <c r="F10" i="454"/>
  <c r="C32" i="452"/>
  <c r="C35" i="452" s="1"/>
  <c r="F13" i="490" s="1"/>
  <c r="D10" i="454"/>
  <c r="C33" i="452"/>
  <c r="E10" i="454"/>
  <c r="F35" i="452"/>
  <c r="F16" i="490" s="1"/>
  <c r="G35" i="452"/>
  <c r="F17" i="490" s="1"/>
  <c r="D35" i="452"/>
  <c r="F14" i="490" s="1"/>
  <c r="E35" i="452"/>
  <c r="F15" i="490" s="1"/>
  <c r="H20" i="490" l="1"/>
  <c r="H23" i="490" s="1"/>
  <c r="F20" i="490"/>
  <c r="F23" i="490" l="1"/>
  <c r="I32" i="472" l="1"/>
  <c r="I27" i="472"/>
  <c r="I17" i="472"/>
  <c r="G32" i="472"/>
  <c r="G27" i="472"/>
  <c r="G17" i="472"/>
  <c r="F46" i="472"/>
  <c r="F39" i="472"/>
  <c r="F32" i="472"/>
  <c r="F17" i="472"/>
  <c r="F27" i="472"/>
  <c r="I40" i="472" l="1"/>
  <c r="C21" i="513"/>
  <c r="R21" i="513" l="1"/>
  <c r="Q21" i="513"/>
  <c r="P21" i="513"/>
  <c r="O21" i="513"/>
  <c r="N21" i="513"/>
  <c r="M21" i="513"/>
  <c r="L21" i="513"/>
  <c r="K21" i="513"/>
  <c r="J21" i="513"/>
  <c r="I21" i="513"/>
  <c r="H21" i="513"/>
  <c r="G21" i="513"/>
  <c r="C11" i="512"/>
  <c r="F16" i="454"/>
  <c r="F23" i="454"/>
  <c r="D22" i="454"/>
  <c r="E16" i="454"/>
  <c r="D16" i="454"/>
  <c r="F9" i="450"/>
  <c r="E9" i="450"/>
  <c r="F7" i="450"/>
  <c r="G22" i="454" l="1"/>
  <c r="E16" i="513" l="1"/>
  <c r="A29" i="513" l="1"/>
  <c r="B12" i="449"/>
  <c r="E18" i="513" l="1"/>
  <c r="C12" i="513"/>
  <c r="C13" i="513"/>
  <c r="C14" i="513"/>
  <c r="C15" i="513"/>
  <c r="C11" i="513"/>
  <c r="A12" i="513"/>
  <c r="A23" i="513" s="1"/>
  <c r="A13" i="513"/>
  <c r="A24" i="513" s="1"/>
  <c r="A14" i="513"/>
  <c r="A25" i="513" s="1"/>
  <c r="A15" i="513"/>
  <c r="A26" i="513" s="1"/>
  <c r="A11" i="513"/>
  <c r="A22" i="513" s="1"/>
  <c r="F25" i="454" l="1"/>
  <c r="A18" i="454"/>
  <c r="B18" i="454"/>
  <c r="A19" i="454"/>
  <c r="B19" i="454"/>
  <c r="A20" i="454"/>
  <c r="B20" i="454"/>
  <c r="A21" i="454"/>
  <c r="B21" i="454"/>
  <c r="A22" i="454"/>
  <c r="B22" i="454"/>
  <c r="B18" i="450" l="1"/>
  <c r="A18" i="450"/>
  <c r="G16" i="450"/>
  <c r="G18" i="450" s="1"/>
  <c r="D9" i="450"/>
  <c r="E7" i="450"/>
  <c r="D7" i="450"/>
  <c r="B11" i="450"/>
  <c r="B12" i="513" s="1"/>
  <c r="B23" i="513" s="1"/>
  <c r="B12" i="450"/>
  <c r="B13" i="513" s="1"/>
  <c r="B24" i="513" s="1"/>
  <c r="B13" i="450"/>
  <c r="B14" i="513" s="1"/>
  <c r="B25" i="513" s="1"/>
  <c r="B14" i="450"/>
  <c r="B15" i="513" s="1"/>
  <c r="B26" i="513" s="1"/>
  <c r="B10" i="450"/>
  <c r="B11" i="513" s="1"/>
  <c r="B22" i="513" s="1"/>
  <c r="A11" i="450"/>
  <c r="A12" i="450"/>
  <c r="A13" i="450"/>
  <c r="A14" i="450"/>
  <c r="A10" i="450"/>
  <c r="G16" i="512"/>
  <c r="C12" i="512"/>
  <c r="C13" i="512"/>
  <c r="C14" i="512"/>
  <c r="C15" i="512"/>
  <c r="B12" i="512"/>
  <c r="B13" i="512"/>
  <c r="B14" i="512"/>
  <c r="B15" i="512"/>
  <c r="B11" i="512"/>
  <c r="A12" i="512"/>
  <c r="A13" i="512"/>
  <c r="A14" i="512"/>
  <c r="A15" i="512"/>
  <c r="A11" i="512"/>
  <c r="D19" i="511"/>
  <c r="D22" i="511" l="1"/>
  <c r="C12" i="449"/>
  <c r="D12" i="450"/>
  <c r="D10" i="450"/>
  <c r="D14" i="450"/>
  <c r="D13" i="450"/>
  <c r="C16" i="512"/>
  <c r="C18" i="512" s="1"/>
  <c r="D11" i="450"/>
  <c r="D16" i="450" l="1"/>
  <c r="D18" i="450" s="1"/>
  <c r="G26" i="508" l="1"/>
  <c r="C14" i="508"/>
  <c r="C12" i="508"/>
  <c r="G27" i="507"/>
  <c r="E27" i="507"/>
  <c r="C27" i="507"/>
  <c r="K25" i="506"/>
  <c r="H25" i="506"/>
  <c r="F25" i="506"/>
  <c r="E25" i="506"/>
  <c r="E26" i="506" s="1"/>
  <c r="H24" i="506"/>
  <c r="F24" i="506"/>
  <c r="E24" i="506"/>
  <c r="K23" i="506"/>
  <c r="H23" i="506"/>
  <c r="F23" i="506"/>
  <c r="H20" i="506"/>
  <c r="F20" i="506"/>
  <c r="C23" i="507" s="1"/>
  <c r="E20" i="506"/>
  <c r="H19" i="506"/>
  <c r="F19" i="506"/>
  <c r="E19" i="506"/>
  <c r="H18" i="506"/>
  <c r="F18" i="506"/>
  <c r="L18" i="506" s="1"/>
  <c r="E18" i="506"/>
  <c r="H17" i="506"/>
  <c r="F17" i="506"/>
  <c r="E17" i="506"/>
  <c r="H16" i="506"/>
  <c r="F16" i="506"/>
  <c r="C19" i="507" s="1"/>
  <c r="E16" i="506"/>
  <c r="H15" i="506"/>
  <c r="F15" i="506"/>
  <c r="C17" i="507" s="1"/>
  <c r="E15" i="506"/>
  <c r="H14" i="506"/>
  <c r="F14" i="506"/>
  <c r="C15" i="507" s="1"/>
  <c r="E14" i="506"/>
  <c r="H13" i="506"/>
  <c r="E13" i="507" s="1"/>
  <c r="F13" i="506"/>
  <c r="C13" i="507" s="1"/>
  <c r="E13" i="506"/>
  <c r="H12" i="506"/>
  <c r="F12" i="506"/>
  <c r="E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G12" i="508" l="1"/>
  <c r="L23" i="506"/>
  <c r="G14" i="508"/>
  <c r="E18" i="508"/>
  <c r="E22" i="508"/>
  <c r="H21" i="506"/>
  <c r="H27" i="507"/>
  <c r="H13" i="507"/>
  <c r="I13" i="507" s="1"/>
  <c r="F21" i="506"/>
  <c r="E24" i="508"/>
  <c r="L12" i="506"/>
  <c r="M12" i="506" s="1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N12" i="506" l="1"/>
  <c r="I14" i="508"/>
  <c r="I22" i="508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N21" i="506" l="1"/>
  <c r="M21" i="506"/>
  <c r="L28" i="506"/>
  <c r="N28" i="506" s="1"/>
  <c r="D15" i="512" l="1"/>
  <c r="E14" i="450" l="1"/>
  <c r="D18" i="454"/>
  <c r="D11" i="512" s="1"/>
  <c r="D19" i="454"/>
  <c r="D20" i="454"/>
  <c r="E18" i="454"/>
  <c r="E19" i="454"/>
  <c r="E20" i="454"/>
  <c r="G19" i="454" l="1"/>
  <c r="D12" i="512"/>
  <c r="E11" i="450" s="1"/>
  <c r="E10" i="450"/>
  <c r="E15" i="512"/>
  <c r="G20" i="454"/>
  <c r="D13" i="512"/>
  <c r="E12" i="450" s="1"/>
  <c r="G18" i="454"/>
  <c r="F14" i="450" l="1"/>
  <c r="H14" i="450" s="1"/>
  <c r="E11" i="512"/>
  <c r="E13" i="512"/>
  <c r="E12" i="512"/>
  <c r="F15" i="512" l="1"/>
  <c r="F11" i="450"/>
  <c r="H11" i="450" s="1"/>
  <c r="F12" i="450"/>
  <c r="H12" i="450" s="1"/>
  <c r="F10" i="450"/>
  <c r="F11" i="512" s="1"/>
  <c r="F11" i="513" s="1"/>
  <c r="F15" i="513" l="1"/>
  <c r="G26" i="513" s="1"/>
  <c r="H15" i="512"/>
  <c r="F12" i="512"/>
  <c r="G22" i="513"/>
  <c r="H11" i="512"/>
  <c r="F13" i="512"/>
  <c r="F13" i="513" s="1"/>
  <c r="H10" i="450"/>
  <c r="G58" i="472"/>
  <c r="G59" i="472"/>
  <c r="G62" i="472"/>
  <c r="G24" i="513" l="1"/>
  <c r="J24" i="513"/>
  <c r="H12" i="512"/>
  <c r="F12" i="513"/>
  <c r="G23" i="513" s="1"/>
  <c r="H13" i="512"/>
  <c r="G39" i="472"/>
  <c r="F75" i="472" l="1"/>
  <c r="G75" i="472"/>
  <c r="I75" i="472"/>
  <c r="J75" i="472"/>
  <c r="E76" i="472"/>
  <c r="J76" i="472"/>
  <c r="E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J88" i="472"/>
  <c r="H13" i="490"/>
  <c r="H15" i="490"/>
  <c r="F18" i="490" l="1"/>
  <c r="F25" i="490" s="1"/>
  <c r="E21" i="473"/>
  <c r="E13" i="473"/>
  <c r="E15" i="473"/>
  <c r="E16" i="474"/>
  <c r="E17" i="473"/>
  <c r="E19" i="473"/>
  <c r="E18" i="474"/>
  <c r="G46" i="472"/>
  <c r="G68" i="472"/>
  <c r="G67" i="472"/>
  <c r="G66" i="472"/>
  <c r="G85" i="472" s="1"/>
  <c r="G84" i="472"/>
  <c r="G64" i="472"/>
  <c r="G63" i="472"/>
  <c r="G81" i="472"/>
  <c r="G61" i="472"/>
  <c r="G78" i="472"/>
  <c r="G77" i="472"/>
  <c r="I68" i="472"/>
  <c r="I67" i="472"/>
  <c r="I66" i="472"/>
  <c r="I85" i="472" s="1"/>
  <c r="I84" i="472"/>
  <c r="I64" i="472"/>
  <c r="I63" i="472"/>
  <c r="I62" i="472"/>
  <c r="I61" i="472"/>
  <c r="I59" i="472"/>
  <c r="I78" i="472" s="1"/>
  <c r="I58" i="472"/>
  <c r="I77" i="472" s="1"/>
  <c r="F66" i="472"/>
  <c r="F85" i="472" s="1"/>
  <c r="F68" i="472"/>
  <c r="E22" i="490" s="1"/>
  <c r="F67" i="472"/>
  <c r="E21" i="490" s="1"/>
  <c r="F64" i="472"/>
  <c r="F63" i="472"/>
  <c r="F62" i="472"/>
  <c r="F61" i="472"/>
  <c r="F59" i="472"/>
  <c r="F58" i="472"/>
  <c r="E23" i="490" l="1"/>
  <c r="I81" i="472"/>
  <c r="F87" i="472"/>
  <c r="I82" i="472"/>
  <c r="I86" i="472"/>
  <c r="G82" i="472"/>
  <c r="G86" i="472"/>
  <c r="I79" i="472"/>
  <c r="I83" i="472"/>
  <c r="I87" i="472"/>
  <c r="G79" i="472"/>
  <c r="G83" i="472"/>
  <c r="G87" i="472"/>
  <c r="F86" i="472"/>
  <c r="I76" i="472"/>
  <c r="I80" i="472"/>
  <c r="G76" i="472"/>
  <c r="G80" i="472"/>
  <c r="F76" i="472"/>
  <c r="F80" i="472"/>
  <c r="F84" i="472"/>
  <c r="F78" i="472"/>
  <c r="E14" i="490"/>
  <c r="E14" i="474" s="1"/>
  <c r="F79" i="472"/>
  <c r="F83" i="472"/>
  <c r="E17" i="490"/>
  <c r="F82" i="472"/>
  <c r="E15" i="490"/>
  <c r="F77" i="472"/>
  <c r="E13" i="490"/>
  <c r="F81" i="472"/>
  <c r="E16" i="490"/>
  <c r="I69" i="472"/>
  <c r="G69" i="472"/>
  <c r="F69" i="472"/>
  <c r="G88" i="472" l="1"/>
  <c r="I88" i="472"/>
  <c r="E12" i="474"/>
  <c r="F88" i="472"/>
  <c r="I46" i="472" l="1"/>
  <c r="I47" i="472" s="1"/>
  <c r="F40" i="472" l="1"/>
  <c r="F47" i="472" s="1"/>
  <c r="C19" i="473" l="1"/>
  <c r="C13" i="473"/>
  <c r="C17" i="473"/>
  <c r="C15" i="473"/>
  <c r="H18" i="490"/>
  <c r="H25" i="490" s="1"/>
  <c r="E18" i="490"/>
  <c r="E25" i="490" s="1"/>
  <c r="G40" i="472" l="1"/>
  <c r="G47" i="472" l="1"/>
  <c r="C16" i="449"/>
  <c r="E21" i="454" l="1"/>
  <c r="D21" i="454"/>
  <c r="D14" i="512" s="1"/>
  <c r="E13" i="450" l="1"/>
  <c r="D16" i="512"/>
  <c r="D18" i="512" s="1"/>
  <c r="E23" i="454"/>
  <c r="E25" i="454" s="1"/>
  <c r="G21" i="454"/>
  <c r="G23" i="454" s="1"/>
  <c r="G25" i="454" s="1"/>
  <c r="D23" i="454"/>
  <c r="D25" i="454" s="1"/>
  <c r="E14" i="512" l="1"/>
  <c r="E16" i="450"/>
  <c r="E18" i="450" s="1"/>
  <c r="F13" i="450" l="1"/>
  <c r="F14" i="512" s="1"/>
  <c r="F14" i="513" s="1"/>
  <c r="E16" i="512"/>
  <c r="E18" i="512" s="1"/>
  <c r="L25" i="513" l="1"/>
  <c r="Q25" i="513"/>
  <c r="G25" i="513"/>
  <c r="H14" i="512"/>
  <c r="H16" i="512" s="1"/>
  <c r="D12" i="449" s="1"/>
  <c r="E12" i="449" s="1"/>
  <c r="F16" i="512"/>
  <c r="F18" i="512" s="1"/>
  <c r="F16" i="450"/>
  <c r="F18" i="450" s="1"/>
  <c r="H13" i="450"/>
  <c r="H16" i="450" s="1"/>
  <c r="H18" i="450" s="1"/>
  <c r="F18" i="513"/>
  <c r="F16" i="513"/>
  <c r="H18" i="512" l="1"/>
  <c r="G27" i="513"/>
  <c r="G29" i="513"/>
  <c r="H23" i="513" l="1"/>
  <c r="D16" i="449"/>
  <c r="I25" i="513" l="1"/>
  <c r="I22" i="513"/>
  <c r="G18" i="513"/>
  <c r="G16" i="513"/>
  <c r="H22" i="513"/>
  <c r="H25" i="513"/>
  <c r="J25" i="513"/>
  <c r="H26" i="513"/>
  <c r="I26" i="513"/>
  <c r="H24" i="513"/>
  <c r="I24" i="513"/>
  <c r="S14" i="513"/>
  <c r="T14" i="513" s="1"/>
  <c r="L18" i="513"/>
  <c r="L16" i="513"/>
  <c r="N16" i="513"/>
  <c r="N18" i="513"/>
  <c r="R26" i="513"/>
  <c r="L26" i="513"/>
  <c r="Q26" i="513"/>
  <c r="J26" i="513"/>
  <c r="M26" i="513"/>
  <c r="O26" i="513"/>
  <c r="P26" i="513"/>
  <c r="N26" i="513"/>
  <c r="K26" i="513"/>
  <c r="S15" i="513"/>
  <c r="T15" i="513" s="1"/>
  <c r="J18" i="513"/>
  <c r="J16" i="513"/>
  <c r="N25" i="513"/>
  <c r="K25" i="513"/>
  <c r="P25" i="513"/>
  <c r="M25" i="513"/>
  <c r="R25" i="513"/>
  <c r="O25" i="513"/>
  <c r="P16" i="513"/>
  <c r="P18" i="513"/>
  <c r="K16" i="513"/>
  <c r="K18" i="513"/>
  <c r="Q16" i="513"/>
  <c r="Q18" i="513"/>
  <c r="M18" i="513"/>
  <c r="M16" i="513"/>
  <c r="I18" i="513"/>
  <c r="I16" i="513"/>
  <c r="L22" i="513"/>
  <c r="R22" i="513"/>
  <c r="N22" i="513"/>
  <c r="M22" i="513"/>
  <c r="J22" i="513"/>
  <c r="P22" i="513"/>
  <c r="S11" i="513"/>
  <c r="O22" i="513"/>
  <c r="K22" i="513"/>
  <c r="Q22" i="513"/>
  <c r="R18" i="513"/>
  <c r="R16" i="513"/>
  <c r="L24" i="513"/>
  <c r="N24" i="513"/>
  <c r="P24" i="513"/>
  <c r="K24" i="513"/>
  <c r="Q24" i="513"/>
  <c r="O24" i="513"/>
  <c r="M24" i="513"/>
  <c r="S13" i="513"/>
  <c r="T13" i="513" s="1"/>
  <c r="R24" i="513"/>
  <c r="O16" i="513"/>
  <c r="O18" i="513"/>
  <c r="I23" i="513"/>
  <c r="M23" i="513"/>
  <c r="S12" i="513"/>
  <c r="T12" i="513" s="1"/>
  <c r="P23" i="513"/>
  <c r="Q23" i="513"/>
  <c r="K23" i="513"/>
  <c r="L23" i="513"/>
  <c r="O23" i="513"/>
  <c r="N23" i="513"/>
  <c r="R23" i="513"/>
  <c r="J23" i="513"/>
  <c r="H16" i="513"/>
  <c r="H18" i="513"/>
  <c r="E16" i="449"/>
  <c r="H29" i="513" l="1"/>
  <c r="H27" i="513"/>
  <c r="I27" i="513"/>
  <c r="I29" i="513"/>
  <c r="S23" i="513"/>
  <c r="K29" i="513"/>
  <c r="K27" i="513"/>
  <c r="J29" i="513"/>
  <c r="J27" i="513"/>
  <c r="L27" i="513"/>
  <c r="L29" i="513"/>
  <c r="S25" i="513"/>
  <c r="O27" i="513"/>
  <c r="O29" i="513"/>
  <c r="M29" i="513"/>
  <c r="M27" i="513"/>
  <c r="S16" i="513"/>
  <c r="S18" i="513"/>
  <c r="T11" i="513"/>
  <c r="N27" i="513"/>
  <c r="N29" i="513"/>
  <c r="S24" i="513"/>
  <c r="Q29" i="513"/>
  <c r="Q27" i="513"/>
  <c r="P27" i="513"/>
  <c r="P29" i="513"/>
  <c r="S22" i="513"/>
  <c r="R29" i="513"/>
  <c r="R27" i="513"/>
  <c r="S26" i="513"/>
  <c r="S27" i="513" l="1"/>
  <c r="S29" i="513"/>
  <c r="T18" i="513"/>
  <c r="T16" i="513"/>
  <c r="J16" i="449"/>
  <c r="F12" i="449" l="1"/>
  <c r="F16" i="449" s="1"/>
  <c r="G12" i="449" l="1"/>
  <c r="G16" i="449" s="1"/>
  <c r="I13" i="449" l="1"/>
  <c r="I16" i="449" s="1"/>
  <c r="E16" i="483" s="1"/>
  <c r="G16" i="483" s="1"/>
  <c r="H13" i="449"/>
  <c r="H16" i="449" s="1"/>
  <c r="E12" i="483" s="1"/>
  <c r="F16" i="483" l="1"/>
  <c r="M34" i="472" s="1"/>
  <c r="N34" i="472" s="1"/>
  <c r="E14" i="483"/>
  <c r="F14" i="483" s="1"/>
  <c r="E15" i="483"/>
  <c r="F15" i="483" s="1"/>
  <c r="E13" i="483"/>
  <c r="G13" i="483" s="1"/>
  <c r="G12" i="483"/>
  <c r="F12" i="483"/>
  <c r="K17" i="490" l="1"/>
  <c r="G20" i="474" s="1"/>
  <c r="M12" i="472"/>
  <c r="O34" i="472"/>
  <c r="K13" i="490"/>
  <c r="G12" i="474" s="1"/>
  <c r="K12" i="474" s="1"/>
  <c r="F13" i="483"/>
  <c r="G21" i="473" l="1"/>
  <c r="N12" i="472"/>
  <c r="E20" i="474"/>
  <c r="C21" i="473"/>
  <c r="M19" i="472"/>
  <c r="N19" i="472" s="1"/>
  <c r="O19" i="472" s="1"/>
  <c r="G15" i="483"/>
  <c r="G14" i="483"/>
  <c r="G13" i="473"/>
  <c r="I12" i="474"/>
  <c r="K14" i="490"/>
  <c r="H21" i="473" l="1"/>
  <c r="I21" i="473" s="1"/>
  <c r="N39" i="472"/>
  <c r="O39" i="472" s="1"/>
  <c r="K20" i="474"/>
  <c r="I20" i="474"/>
  <c r="O12" i="472"/>
  <c r="H13" i="473"/>
  <c r="I13" i="473" s="1"/>
  <c r="G15" i="473"/>
  <c r="H15" i="473" s="1"/>
  <c r="G14" i="474"/>
  <c r="K14" i="474" s="1"/>
  <c r="N17" i="472" l="1"/>
  <c r="O17" i="472" s="1"/>
  <c r="I14" i="474"/>
  <c r="I15" i="473"/>
  <c r="M20" i="472" l="1"/>
  <c r="K16" i="490"/>
  <c r="G19" i="473" s="1"/>
  <c r="H19" i="473" s="1"/>
  <c r="N20" i="472" l="1"/>
  <c r="O20" i="472" s="1"/>
  <c r="M30" i="472"/>
  <c r="N30" i="472" s="1"/>
  <c r="O30" i="472" s="1"/>
  <c r="M29" i="472"/>
  <c r="N29" i="472" s="1"/>
  <c r="O29" i="472" s="1"/>
  <c r="G18" i="474"/>
  <c r="K15" i="490"/>
  <c r="G17" i="473" s="1"/>
  <c r="H17" i="473" s="1"/>
  <c r="N27" i="472" l="1"/>
  <c r="O27" i="472" s="1"/>
  <c r="N32" i="472"/>
  <c r="O32" i="472" s="1"/>
  <c r="G16" i="474"/>
  <c r="I19" i="473"/>
  <c r="I18" i="474"/>
  <c r="K18" i="474"/>
  <c r="N40" i="472" l="1"/>
  <c r="O40" i="472" s="1"/>
  <c r="I17" i="473"/>
  <c r="K16" i="474"/>
  <c r="I16" i="474"/>
  <c r="L13" i="490" l="1"/>
  <c r="L14" i="490"/>
  <c r="L15" i="490"/>
  <c r="L16" i="490"/>
  <c r="L17" i="490"/>
  <c r="M15" i="490" l="1"/>
  <c r="N15" i="490"/>
  <c r="M13" i="490"/>
  <c r="N13" i="490"/>
  <c r="M16" i="490"/>
  <c r="N16" i="490"/>
  <c r="M17" i="490"/>
  <c r="N17" i="490"/>
  <c r="M14" i="490"/>
  <c r="N14" i="490"/>
  <c r="L18" i="490"/>
  <c r="L25" i="490" s="1"/>
  <c r="N25" i="490" s="1"/>
  <c r="M18" i="490" l="1"/>
  <c r="N47" i="472" l="1"/>
  <c r="O47" i="4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tc={458235DB-798C-47CC-9132-4F90EF69A98A}</author>
  </authors>
  <commentList>
    <comment ref="C12" authorId="0" shapeId="0" xr:uid="{458235DB-798C-47CC-9132-4F90EF69A98A}">
      <text>
        <t>[Threaded comment]
Your version of Excel allows you to read this threaded comment; however, any edits to it will get removed if the file is opened in a newer version of Excel. Learn more: https://go.microsoft.com/fwlink/?linkid=870924
Comment:
    UG-200568 avg therms per month</t>
      </text>
    </comment>
  </commentList>
</comments>
</file>

<file path=xl/sharedStrings.xml><?xml version="1.0" encoding="utf-8"?>
<sst xmlns="http://schemas.openxmlformats.org/spreadsheetml/2006/main" count="611" uniqueCount="262">
  <si>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</si>
  <si>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</si>
  <si>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</si>
  <si>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</si>
  <si>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</si>
  <si>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</si>
  <si>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</si>
  <si>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</si>
  <si>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</si>
  <si>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</si>
  <si>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</si>
  <si>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</si>
  <si>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</si>
  <si>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</si>
  <si>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</si>
  <si>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</si>
  <si>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</si>
  <si>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</si>
  <si>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</si>
  <si>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</si>
  <si>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</si>
  <si>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</si>
  <si>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</si>
  <si>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</si>
  <si>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</si>
  <si>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1 Year</t>
  </si>
  <si>
    <t>TOTAL</t>
  </si>
  <si>
    <t xml:space="preserve"> AMORT</t>
  </si>
  <si>
    <t>ENDING</t>
  </si>
  <si>
    <t>ACCT NO</t>
  </si>
  <si>
    <t>BALANCE</t>
  </si>
  <si>
    <t>-</t>
  </si>
  <si>
    <t>RATE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</si>
  <si>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</si>
  <si>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</si>
  <si>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</si>
  <si>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</si>
  <si>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</si>
  <si>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</si>
  <si>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</si>
  <si>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</si>
  <si>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</si>
  <si>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</si>
  <si>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</si>
  <si>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</si>
  <si>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</si>
  <si>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</si>
  <si>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</si>
  <si>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</si>
  <si>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</si>
  <si>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</si>
  <si>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</si>
  <si>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</si>
  <si>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</si>
  <si>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</si>
  <si>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</si>
  <si>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</si>
  <si>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</si>
  <si>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</si>
  <si>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</si>
  <si>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</si>
  <si>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</si>
  <si>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</si>
  <si>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</si>
  <si>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</si>
  <si>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</si>
  <si>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</si>
  <si>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</si>
  <si>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</si>
  <si>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</si>
  <si>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</si>
  <si>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</si>
  <si>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</si>
  <si>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</si>
  <si>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</si>
  <si>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</si>
  <si>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</si>
  <si>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</si>
  <si>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</si>
  <si>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</si>
  <si>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</si>
  <si>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</si>
  <si>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</si>
  <si>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</si>
  <si>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</si>
  <si>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</si>
  <si>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</si>
  <si>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</si>
  <si>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</si>
  <si>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</si>
  <si>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</si>
  <si>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</si>
  <si>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</si>
  <si>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</si>
  <si>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</si>
  <si>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</si>
  <si>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</si>
  <si>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</si>
  <si>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</si>
  <si>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</si>
  <si>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</si>
  <si>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</si>
  <si>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</si>
  <si>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</si>
  <si>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</si>
  <si>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</si>
  <si>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</si>
  <si>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</si>
  <si>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</si>
  <si>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</si>
  <si>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</si>
  <si>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</si>
  <si>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</si>
  <si>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</si>
  <si>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</si>
  <si>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</si>
  <si>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</si>
  <si>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</si>
  <si>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</si>
  <si>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Washington Conservation Administration &amp; Program Delivery Fees</t>
  </si>
  <si>
    <t xml:space="preserve">Washington Residential Conservation Program </t>
  </si>
  <si>
    <t>Rolled Into</t>
  </si>
  <si>
    <t>CORE Conservation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</si>
  <si>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</si>
  <si>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</si>
  <si>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</si>
  <si>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</si>
  <si>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</si>
  <si>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</si>
  <si>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Consolidation of accounts related to core conservation.</t>
  </si>
  <si>
    <t>Customer
Class</t>
  </si>
  <si>
    <t>Interest &amp;</t>
  </si>
  <si>
    <t>Amort. Thru</t>
  </si>
  <si>
    <t>Proposed Amortization by Month</t>
  </si>
  <si>
    <t xml:space="preserve">TOTAL </t>
  </si>
  <si>
    <t>Conservation Program Deferrals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</si>
  <si>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</si>
  <si>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</si>
  <si>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</si>
  <si>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</si>
  <si>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</si>
  <si>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</si>
  <si>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</si>
  <si>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</si>
  <si>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</si>
  <si>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</si>
  <si>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</si>
  <si>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</si>
  <si>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</si>
  <si>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</si>
  <si>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</si>
  <si>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</si>
  <si>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</si>
  <si>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</si>
  <si>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</si>
  <si>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</si>
  <si>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</si>
  <si>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 xml:space="preserve">Commercial Conservation Program </t>
  </si>
  <si>
    <t>Low Income Weatherization Program</t>
  </si>
  <si>
    <t>Consolidated Technical Adjustments - Conservation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</si>
  <si>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</si>
  <si>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</si>
  <si>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</si>
  <si>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</si>
  <si>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</si>
  <si>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</si>
  <si>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</si>
  <si>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</si>
  <si>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</si>
  <si>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</si>
  <si>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</si>
  <si>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</si>
  <si>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</si>
  <si>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</si>
  <si>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</si>
  <si>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</si>
  <si>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Page 4 of 5</t>
  </si>
  <si>
    <t>11/01/2013 Rates</t>
  </si>
  <si>
    <t>Incremental R/S 596 Rate Change</t>
  </si>
  <si>
    <t>RATE ADDITION SCHEDULE NO. 596</t>
  </si>
  <si>
    <t>Conservation</t>
  </si>
  <si>
    <t>Reverse Prior Conservation Rate Adj.</t>
  </si>
  <si>
    <t>Page 5 of 5</t>
  </si>
  <si>
    <t>Page 3 of 5</t>
  </si>
  <si>
    <t>Page 2 of 5</t>
  </si>
  <si>
    <t>Page 1 of 5</t>
  </si>
  <si>
    <t>Conservation Related Temporary Rate Adj.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</si>
  <si>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</si>
  <si>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</si>
  <si>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</si>
  <si>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</si>
  <si>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</si>
  <si>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</si>
  <si>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</si>
  <si>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</si>
  <si>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</si>
  <si>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</si>
  <si>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</si>
  <si>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</si>
  <si>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</si>
  <si>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</si>
  <si>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</si>
  <si>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</si>
  <si>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</si>
  <si>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</si>
  <si>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</si>
  <si>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</si>
  <si>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</si>
  <si>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</si>
  <si>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</si>
  <si>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</si>
  <si>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</si>
  <si>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</si>
  <si>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</si>
  <si>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</si>
  <si>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</si>
  <si>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</si>
  <si>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CONSERVATION</t>
  </si>
  <si>
    <t>*The large variation among customers in the Industrial, Interruptible, and Noncore customer classes renders average consumption numbers meaningless, therefore only per-therm figures have been listed.</t>
  </si>
  <si>
    <t>EOM</t>
  </si>
  <si>
    <t>LM</t>
  </si>
  <si>
    <t>Posted R/S 596 Tariff Rate</t>
  </si>
  <si>
    <t>Percentage</t>
  </si>
  <si>
    <t>Annual and Monthly Interest Rate</t>
  </si>
  <si>
    <t>CASCADE NATURAL GAS CORPORATION</t>
  </si>
  <si>
    <t>EXHIBIT A</t>
  </si>
  <si>
    <t>Page</t>
  </si>
  <si>
    <t>CPA CALCULATION OF PER THERM RATES TO AMORTIZE DEFERRED ACCOUNTS</t>
  </si>
  <si>
    <t>CPA Exhibit A</t>
  </si>
  <si>
    <t>CPA AMOUNT OF CHANGE BY RATE SCHEDULE</t>
  </si>
  <si>
    <t>1</t>
  </si>
  <si>
    <t>CPA Calculation of Per Therm Rates to Amortize Deferred Accounts</t>
  </si>
  <si>
    <t>CPA Derivation of Proposed Rate Level Within</t>
  </si>
  <si>
    <t>CPA Amount of Change by Rate Schedule</t>
  </si>
  <si>
    <t>CPA Typical Monthly Therm Usuage and Cost by Class</t>
  </si>
  <si>
    <t>CPA DERIVATION OF PROPOSED RATE LEVEL WITHIN</t>
  </si>
  <si>
    <t>CPA TYPICAL MONTHLY THERM USAGE AND COST BY  CLASS</t>
  </si>
  <si>
    <t>CPA Proposed Typical Monthly Bill by Class</t>
  </si>
  <si>
    <t>TABLE OF CONTENTS</t>
  </si>
  <si>
    <t>Total</t>
  </si>
  <si>
    <t>Forecasted</t>
  </si>
  <si>
    <t>47WA.1823.20430</t>
  </si>
  <si>
    <t>47WA.1823.20431</t>
  </si>
  <si>
    <t>47WA.1823.20444</t>
  </si>
  <si>
    <t>47WA.1823.20449</t>
  </si>
  <si>
    <t>47WA.1823.20478</t>
  </si>
  <si>
    <t>(d) from TTA Exhibit A, Page 1 of 5</t>
  </si>
  <si>
    <t>Actual</t>
  </si>
  <si>
    <t>Account Balance 7/31/2020</t>
  </si>
  <si>
    <t>Interest Assignments &amp; Amortization through 10/31/2020</t>
  </si>
  <si>
    <t>FOR TWELVE MONTHS ENDED 7/31/2020</t>
  </si>
  <si>
    <t>11/01/2019 Rates</t>
  </si>
  <si>
    <t>Balance 7/31/20</t>
  </si>
  <si>
    <t>Deferral Balances at 7/31/2020</t>
  </si>
  <si>
    <t>(Source:  WAC 480-90-233 Monthly Deferral Reporting for period ending 7/31/2020)</t>
  </si>
  <si>
    <t>ESTIMATED BALANCES FOR DEFERRED ACCOUNTS PERIOD ENDING: 10/31/2020</t>
  </si>
  <si>
    <t>Estimated Amortization Thru 10/31/2020 on Balances Currently Amortizing</t>
  </si>
  <si>
    <t>INTEREST CALCULATIONS FOR AMORTIZATION PERIOD 11/1/2020 TO 10/31/2021</t>
  </si>
  <si>
    <t>10/31/2020
Balance</t>
  </si>
  <si>
    <t>WASHINGTON 11/2019 AMORTIZATION OF DEFERRAL ACCOUNTS APPLICATION</t>
  </si>
  <si>
    <t>CNGC Advice W20-09-02</t>
  </si>
  <si>
    <t>BASED UPON THE  TWELVE MONTHS ENDED 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</si>
</sst>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0_);\(0\)"/>
    <numFmt numFmtId="203" formatCode="_(* #,##0.000_);_(* \(#,##0.000\);_(* &quot;-&quot;??_);_(@_)"/>
    <numFmt numFmtId="204" formatCode="#,##0.000000_);\(#,##0.000000\)"/>
    <numFmt numFmtId="205" formatCode="0.00000_);\(0.00000\)"/>
    <numFmt numFmtId="206" formatCode="_(&quot;$&quot;* #,##0.000_);_(&quot;$&quot;* \(#,##0.000\);_(&quot;$&quot;* &quot;-&quot;??_);_(@_)"/>
  </numFmts>
  <fonts count="10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1498">
    <xf numFmtId="164" fontId="0" fillId="0" borderId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164" fontId="14" fillId="0" borderId="0"/>
    <xf numFmtId="164" fontId="14" fillId="0" borderId="0"/>
    <xf numFmtId="0" fontId="12" fillId="0" borderId="0"/>
    <xf numFmtId="170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9" fontId="12" fillId="0" borderId="0" applyFont="0" applyFill="0" applyBorder="0" applyAlignment="0" applyProtection="0"/>
    <xf numFmtId="0" fontId="27" fillId="5" borderId="17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6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8" fontId="33" fillId="24" borderId="7" applyNumberFormat="0" applyBorder="0" applyAlignment="0">
      <alignment horizontal="centerContinuous" vertical="center"/>
      <protection hidden="1"/>
    </xf>
    <xf numFmtId="1" fontId="34" fillId="25" borderId="12" applyNumberFormat="0" applyBorder="0" applyAlignment="0">
      <alignment horizontal="center" vertical="top" wrapText="1"/>
      <protection hidden="1"/>
    </xf>
    <xf numFmtId="0" fontId="22" fillId="0" borderId="0">
      <alignment vertical="center"/>
    </xf>
    <xf numFmtId="0" fontId="35" fillId="0" borderId="25">
      <alignment horizontal="left" vertical="center"/>
    </xf>
    <xf numFmtId="179" fontId="36" fillId="0" borderId="0">
      <alignment horizontal="right" vertical="center"/>
    </xf>
    <xf numFmtId="180" fontId="22" fillId="0" borderId="0">
      <alignment horizontal="right" vertical="center"/>
    </xf>
    <xf numFmtId="180" fontId="35" fillId="0" borderId="0">
      <alignment horizontal="right" vertical="center"/>
    </xf>
    <xf numFmtId="181" fontId="22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0" fontId="38" fillId="26" borderId="26" applyNumberFormat="0" applyAlignment="0" applyProtection="0"/>
    <xf numFmtId="0" fontId="38" fillId="26" borderId="26" applyNumberFormat="0" applyAlignment="0" applyProtection="0"/>
    <xf numFmtId="0" fontId="38" fillId="26" borderId="26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1" fontId="40" fillId="0" borderId="28">
      <alignment vertical="top"/>
    </xf>
    <xf numFmtId="182" fontId="37" fillId="0" borderId="0" applyBorder="0">
      <alignment horizontal="right"/>
    </xf>
    <xf numFmtId="182" fontId="37" fillId="0" borderId="23" applyAlignment="0">
      <alignment horizontal="right"/>
    </xf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22" fillId="0" borderId="0"/>
    <xf numFmtId="186" fontId="43" fillId="0" borderId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2" fillId="0" borderId="0"/>
    <xf numFmtId="189" fontId="46" fillId="29" borderId="0" applyBorder="0">
      <protection locked="0"/>
    </xf>
    <xf numFmtId="181" fontId="47" fillId="0" borderId="0">
      <alignment horizontal="right"/>
    </xf>
    <xf numFmtId="190" fontId="22" fillId="0" borderId="0" applyFill="0" applyBorder="0">
      <alignment horizontal="right"/>
    </xf>
    <xf numFmtId="49" fontId="22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80" fontId="51" fillId="0" borderId="0">
      <alignment horizontal="right" vertical="center"/>
    </xf>
    <xf numFmtId="180" fontId="47" fillId="0" borderId="0" applyFill="0" applyBorder="0">
      <alignment horizontal="right" vertical="center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0" applyNumberFormat="0" applyBorder="0" applyAlignment="0">
      <protection hidden="1"/>
    </xf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5" fontId="58" fillId="30" borderId="5" applyNumberFormat="0" applyFont="0" applyBorder="0" applyAlignment="0" applyProtection="0">
      <alignment horizontal="right"/>
    </xf>
    <xf numFmtId="0" fontId="59" fillId="11" borderId="26" applyNumberFormat="0" applyAlignment="0" applyProtection="0"/>
    <xf numFmtId="0" fontId="59" fillId="11" borderId="26" applyNumberFormat="0" applyAlignment="0" applyProtection="0"/>
    <xf numFmtId="0" fontId="59" fillId="11" borderId="26" applyNumberFormat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22" fillId="31" borderId="0">
      <alignment horizontal="center"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93" fontId="63" fillId="0" borderId="0"/>
    <xf numFmtId="194" fontId="22" fillId="0" borderId="0"/>
    <xf numFmtId="195" fontId="2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67" fillId="30" borderId="0" applyBorder="0" applyAlignment="0">
      <protection hidden="1"/>
    </xf>
    <xf numFmtId="1" fontId="67" fillId="30" borderId="0">
      <alignment horizontal="center"/>
    </xf>
    <xf numFmtId="196" fontId="46" fillId="0" borderId="0"/>
    <xf numFmtId="193" fontId="68" fillId="30" borderId="0"/>
    <xf numFmtId="1" fontId="58" fillId="0" borderId="0" applyNumberFormat="0" applyFont="0" applyBorder="0" applyAlignment="0" applyProtection="0">
      <alignment horizontal="right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9" fillId="0" borderId="0" applyNumberFormat="0" applyFill="0" applyBorder="0" applyAlignment="0" applyProtection="0">
      <protection locked="0"/>
    </xf>
    <xf numFmtId="199" fontId="70" fillId="0" borderId="0" applyNumberFormat="0" applyFill="0" applyBorder="0" applyAlignment="0" applyProtection="0">
      <alignment horizontal="right" vertical="center" wrapText="1"/>
    </xf>
    <xf numFmtId="0" fontId="13" fillId="0" borderId="0" applyNumberFormat="0" applyFill="0" applyBorder="0" applyAlignment="0" applyProtection="0">
      <protection locked="0"/>
    </xf>
    <xf numFmtId="0" fontId="71" fillId="0" borderId="0" applyNumberFormat="0" applyFill="0" applyBorder="0" applyAlignment="0" applyProtection="0"/>
    <xf numFmtId="200" fontId="72" fillId="0" borderId="0" applyNumberFormat="0" applyFill="0" applyBorder="0" applyAlignment="0" applyProtection="0">
      <alignment horizontal="right" vertical="center"/>
    </xf>
    <xf numFmtId="0" fontId="13" fillId="0" borderId="0" applyNumberFormat="0" applyFill="0" applyBorder="0" applyAlignment="0" applyProtection="0"/>
    <xf numFmtId="0" fontId="73" fillId="37" borderId="38"/>
    <xf numFmtId="0" fontId="73" fillId="0" borderId="0"/>
    <xf numFmtId="0" fontId="73" fillId="0" borderId="0"/>
    <xf numFmtId="0" fontId="73" fillId="0" borderId="0"/>
    <xf numFmtId="178" fontId="19" fillId="38" borderId="0"/>
    <xf numFmtId="196" fontId="74" fillId="0" borderId="0"/>
    <xf numFmtId="193" fontId="37" fillId="39" borderId="0"/>
    <xf numFmtId="186" fontId="75" fillId="0" borderId="0"/>
    <xf numFmtId="201" fontId="76" fillId="30" borderId="3" applyAlignment="0"/>
    <xf numFmtId="196" fontId="77" fillId="40" borderId="0" applyFont="0" applyBorder="0" applyAlignment="0">
      <alignment vertical="top" wrapText="1"/>
    </xf>
    <xf numFmtId="196" fontId="78" fillId="40" borderId="0" applyFont="0" applyAlignment="0">
      <alignment horizontal="justify" vertical="top" wrapText="1"/>
    </xf>
    <xf numFmtId="196" fontId="79" fillId="40" borderId="0">
      <alignment vertical="top" wrapText="1"/>
    </xf>
    <xf numFmtId="196" fontId="80" fillId="40" borderId="39" applyBorder="0">
      <alignment horizontal="right" vertical="top" wrapText="1"/>
    </xf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25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182" fontId="37" fillId="0" borderId="41"/>
    <xf numFmtId="194" fontId="40" fillId="0" borderId="41" applyAlignment="0"/>
    <xf numFmtId="195" fontId="40" fillId="0" borderId="41" applyAlignment="0"/>
    <xf numFmtId="196" fontId="40" fillId="0" borderId="41" applyAlignment="0">
      <alignment horizontal="right"/>
    </xf>
    <xf numFmtId="178" fontId="67" fillId="30" borderId="12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37" fillId="42" borderId="28" applyNumberFormat="0">
      <alignment horizontal="center" wrapText="1"/>
    </xf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>
      <alignment horizontal="right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85" fillId="0" borderId="0" applyNumberFormat="0" applyAlignment="0"/>
    <xf numFmtId="0" fontId="86" fillId="42" borderId="0" applyNumberFormat="0" applyAlignment="0"/>
    <xf numFmtId="49" fontId="24" fillId="42" borderId="0">
      <alignment horizontal="right"/>
    </xf>
    <xf numFmtId="175" fontId="37" fillId="42" borderId="28">
      <alignment horizontal="right" wrapText="1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85" fontId="76" fillId="30" borderId="7" applyNumberFormat="0" applyBorder="0" applyAlignment="0"/>
    <xf numFmtId="175" fontId="24" fillId="31" borderId="3" applyAlignment="0">
      <alignment horizontal="right"/>
    </xf>
    <xf numFmtId="175" fontId="24" fillId="39" borderId="3" applyAlignment="0">
      <alignment horizontal="left"/>
    </xf>
    <xf numFmtId="39" fontId="15" fillId="0" borderId="0"/>
    <xf numFmtId="43" fontId="26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94" fillId="5" borderId="17" applyNumberFormat="0" applyAlignment="0" applyProtection="0"/>
    <xf numFmtId="0" fontId="11" fillId="43" borderId="42" applyNumberFormat="0" applyFont="0" applyAlignment="0" applyProtection="0"/>
    <xf numFmtId="39" fontId="15" fillId="0" borderId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7" fillId="5" borderId="17" applyNumberFormat="0" applyAlignment="0" applyProtection="0"/>
    <xf numFmtId="0" fontId="4" fillId="0" borderId="0"/>
    <xf numFmtId="164" fontId="16" fillId="0" borderId="0"/>
  </cellStyleXfs>
  <cellXfs count="616">
    <xf numFmtId="164" fontId="0" fillId="0" borderId="0" xfId="0"/>
    <xf numFmtId="168" fontId="28" fillId="0" borderId="0" xfId="1" applyNumberFormat="1" applyFont="1" applyFill="1" applyBorder="1"/>
    <xf numFmtId="164" fontId="28" fillId="0" borderId="0" xfId="0" applyFont="1" applyFill="1"/>
    <xf numFmtId="164" fontId="88" fillId="0" borderId="0" xfId="0" applyFont="1" applyFill="1" applyAlignment="1" applyProtection="1">
      <alignment horizontal="left"/>
    </xf>
    <xf numFmtId="37" fontId="28" fillId="0" borderId="0" xfId="0" applyNumberFormat="1" applyFont="1" applyFill="1" applyProtection="1"/>
    <xf numFmtId="164" fontId="28" fillId="0" borderId="0" xfId="5" applyFont="1" applyFill="1" applyBorder="1" applyAlignment="1" applyProtection="1">
      <alignment horizontal="center"/>
    </xf>
    <xf numFmtId="37" fontId="28" fillId="0" borderId="0" xfId="0" applyNumberFormat="1" applyFont="1" applyFill="1" applyBorder="1" applyProtection="1"/>
    <xf numFmtId="168" fontId="28" fillId="0" borderId="0" xfId="1" applyNumberFormat="1" applyFont="1" applyFill="1"/>
    <xf numFmtId="168" fontId="28" fillId="0" borderId="1" xfId="1" applyNumberFormat="1" applyFont="1" applyFill="1" applyBorder="1"/>
    <xf numFmtId="173" fontId="28" fillId="0" borderId="5" xfId="2" applyNumberFormat="1" applyFont="1" applyFill="1" applyBorder="1"/>
    <xf numFmtId="164" fontId="28" fillId="0" borderId="0" xfId="18" applyFont="1" applyFill="1" applyAlignment="1" applyProtection="1">
      <alignment horizontal="left"/>
    </xf>
    <xf numFmtId="174" fontId="28" fillId="0" borderId="0" xfId="18" applyNumberFormat="1" applyFont="1" applyFill="1"/>
    <xf numFmtId="164" fontId="28" fillId="0" borderId="0" xfId="18" applyFont="1" applyFill="1" applyAlignment="1">
      <alignment horizontal="centerContinuous"/>
    </xf>
    <xf numFmtId="164" fontId="28" fillId="0" borderId="0" xfId="18" quotePrefix="1" applyFont="1" applyFill="1" applyAlignment="1">
      <alignment horizontal="centerContinuous"/>
    </xf>
    <xf numFmtId="164" fontId="28" fillId="0" borderId="2" xfId="18" applyFont="1" applyFill="1" applyBorder="1"/>
    <xf numFmtId="164" fontId="28" fillId="0" borderId="16" xfId="18" applyFont="1" applyFill="1" applyBorder="1"/>
    <xf numFmtId="164" fontId="28" fillId="0" borderId="2" xfId="18" applyFont="1" applyFill="1" applyBorder="1" applyAlignment="1" applyProtection="1">
      <alignment horizontal="center"/>
    </xf>
    <xf numFmtId="174" fontId="28" fillId="0" borderId="16" xfId="18" applyNumberFormat="1" applyFont="1" applyFill="1" applyBorder="1" applyAlignment="1">
      <alignment horizontal="centerContinuous"/>
    </xf>
    <xf numFmtId="164" fontId="28" fillId="0" borderId="0" xfId="18" applyFont="1" applyFill="1" applyBorder="1"/>
    <xf numFmtId="164" fontId="28" fillId="0" borderId="9" xfId="18" quotePrefix="1" applyFont="1" applyFill="1" applyBorder="1"/>
    <xf numFmtId="164" fontId="28" fillId="0" borderId="9" xfId="18" applyFont="1" applyFill="1" applyBorder="1" applyAlignment="1" applyProtection="1">
      <alignment horizontal="center"/>
    </xf>
    <xf numFmtId="164" fontId="28" fillId="0" borderId="0" xfId="18" applyFont="1" applyFill="1" applyBorder="1" applyAlignment="1" applyProtection="1">
      <alignment horizontal="center"/>
    </xf>
    <xf numFmtId="164" fontId="28" fillId="0" borderId="9" xfId="18" applyFont="1" applyFill="1" applyBorder="1"/>
    <xf numFmtId="174" fontId="28" fillId="0" borderId="9" xfId="18" applyNumberFormat="1" applyFont="1" applyFill="1" applyBorder="1" applyAlignment="1">
      <alignment horizontal="centerContinuous"/>
    </xf>
    <xf numFmtId="164" fontId="28" fillId="0" borderId="9" xfId="18" applyFont="1" applyFill="1" applyBorder="1" applyAlignment="1">
      <alignment horizontal="centerContinuous"/>
    </xf>
    <xf numFmtId="164" fontId="28" fillId="0" borderId="0" xfId="18" applyFont="1" applyFill="1" applyBorder="1" applyAlignment="1" applyProtection="1">
      <alignment horizontal="centerContinuous"/>
    </xf>
    <xf numFmtId="174" fontId="28" fillId="0" borderId="9" xfId="18" applyNumberFormat="1" applyFont="1" applyFill="1" applyBorder="1" applyAlignment="1" applyProtection="1">
      <alignment horizontal="center"/>
    </xf>
    <xf numFmtId="164" fontId="88" fillId="0" borderId="3" xfId="18" applyFont="1" applyFill="1" applyBorder="1" applyAlignment="1" applyProtection="1">
      <alignment horizontal="left"/>
    </xf>
    <xf numFmtId="164" fontId="28" fillId="0" borderId="3" xfId="18" applyFont="1" applyFill="1" applyBorder="1"/>
    <xf numFmtId="37" fontId="28" fillId="0" borderId="3" xfId="18" applyNumberFormat="1" applyFont="1" applyFill="1" applyBorder="1" applyProtection="1"/>
    <xf numFmtId="174" fontId="28" fillId="0" borderId="3" xfId="18" applyNumberFormat="1" applyFont="1" applyFill="1" applyBorder="1"/>
    <xf numFmtId="164" fontId="28" fillId="0" borderId="8" xfId="18" applyFont="1" applyFill="1" applyBorder="1"/>
    <xf numFmtId="164" fontId="28" fillId="0" borderId="0" xfId="18" applyFont="1" applyFill="1" applyBorder="1" applyAlignment="1" applyProtection="1">
      <alignment horizontal="left"/>
    </xf>
    <xf numFmtId="164" fontId="28" fillId="0" borderId="9" xfId="18" quotePrefix="1" applyFont="1" applyFill="1" applyBorder="1" applyAlignment="1">
      <alignment horizontal="left"/>
    </xf>
    <xf numFmtId="172" fontId="28" fillId="0" borderId="9" xfId="2" applyNumberFormat="1" applyFont="1" applyFill="1" applyBorder="1" applyProtection="1"/>
    <xf numFmtId="164" fontId="89" fillId="0" borderId="0" xfId="0" applyFont="1" applyFill="1" applyAlignment="1" applyProtection="1">
      <alignment horizontal="center"/>
    </xf>
    <xf numFmtId="164" fontId="89" fillId="0" borderId="0" xfId="0" applyFont="1" applyFill="1" applyAlignment="1">
      <alignment horizontal="center"/>
    </xf>
    <xf numFmtId="17" fontId="28" fillId="0" borderId="0" xfId="0" quotePrefix="1" applyNumberFormat="1" applyFont="1" applyFill="1" applyBorder="1" applyAlignment="1" applyProtection="1">
      <alignment horizontal="left"/>
    </xf>
    <xf numFmtId="164" fontId="28" fillId="0" borderId="0" xfId="0" applyFont="1" applyFill="1" applyBorder="1" applyAlignment="1"/>
    <xf numFmtId="164" fontId="28" fillId="0" borderId="0" xfId="0" applyFont="1" applyFill="1" applyBorder="1" applyAlignment="1">
      <alignment horizontal="right"/>
    </xf>
    <xf numFmtId="164" fontId="28" fillId="0" borderId="0" xfId="0" applyFont="1" applyFill="1" applyBorder="1" applyAlignment="1" applyProtection="1">
      <alignment horizontal="right"/>
    </xf>
    <xf numFmtId="17" fontId="28" fillId="0" borderId="0" xfId="0" applyNumberFormat="1" applyFont="1" applyFill="1" applyAlignment="1" applyProtection="1">
      <alignment horizontal="center"/>
    </xf>
    <xf numFmtId="164" fontId="28" fillId="0" borderId="0" xfId="0" applyFont="1" applyFill="1" applyAlignment="1" applyProtection="1">
      <alignment horizontal="fill"/>
    </xf>
    <xf numFmtId="173" fontId="28" fillId="0" borderId="0" xfId="2" applyNumberFormat="1" applyFont="1" applyFill="1"/>
    <xf numFmtId="17" fontId="28" fillId="0" borderId="0" xfId="1" applyNumberFormat="1" applyFont="1" applyFill="1" applyBorder="1"/>
    <xf numFmtId="10" fontId="28" fillId="0" borderId="0" xfId="12" applyNumberFormat="1" applyFont="1" applyFill="1" applyBorder="1" applyProtection="1"/>
    <xf numFmtId="164" fontId="28" fillId="0" borderId="0" xfId="4" applyFont="1" applyFill="1" applyAlignment="1">
      <alignment horizontal="centerContinuous"/>
    </xf>
    <xf numFmtId="164" fontId="28" fillId="0" borderId="0" xfId="4" applyFont="1" applyFill="1"/>
    <xf numFmtId="164" fontId="28" fillId="0" borderId="5" xfId="4" applyFont="1" applyFill="1" applyBorder="1" applyAlignment="1" applyProtection="1">
      <alignment horizontal="center"/>
    </xf>
    <xf numFmtId="164" fontId="28" fillId="0" borderId="0" xfId="4" applyFont="1" applyFill="1" applyBorder="1" applyAlignment="1" applyProtection="1">
      <alignment horizontal="center"/>
    </xf>
    <xf numFmtId="164" fontId="28" fillId="0" borderId="9" xfId="4" applyFont="1" applyFill="1" applyBorder="1"/>
    <xf numFmtId="164" fontId="28" fillId="0" borderId="9" xfId="4" applyFont="1" applyFill="1" applyBorder="1" applyAlignment="1" applyProtection="1">
      <alignment horizontal="center"/>
    </xf>
    <xf numFmtId="37" fontId="28" fillId="0" borderId="9" xfId="4" applyNumberFormat="1" applyFont="1" applyFill="1" applyBorder="1" applyProtection="1"/>
    <xf numFmtId="10" fontId="28" fillId="0" borderId="9" xfId="12" applyNumberFormat="1" applyFont="1" applyFill="1" applyBorder="1" applyProtection="1"/>
    <xf numFmtId="164" fontId="28" fillId="0" borderId="0" xfId="4" applyFont="1" applyFill="1" applyBorder="1"/>
    <xf numFmtId="37" fontId="28" fillId="0" borderId="0" xfId="4" applyNumberFormat="1" applyFont="1" applyFill="1" applyProtection="1"/>
    <xf numFmtId="164" fontId="28" fillId="0" borderId="0" xfId="4" applyFont="1" applyFill="1" applyAlignment="1" applyProtection="1">
      <alignment horizontal="left"/>
    </xf>
    <xf numFmtId="164" fontId="28" fillId="0" borderId="0" xfId="4" quotePrefix="1" applyFont="1" applyFill="1" applyAlignment="1" applyProtection="1">
      <alignment horizontal="left"/>
    </xf>
    <xf numFmtId="164" fontId="28" fillId="0" borderId="0" xfId="4" quotePrefix="1" applyFont="1" applyFill="1" applyAlignment="1">
      <alignment horizontal="left"/>
    </xf>
    <xf numFmtId="164" fontId="28" fillId="0" borderId="0" xfId="4" quotePrefix="1" applyFont="1" applyFill="1" applyAlignment="1" applyProtection="1">
      <alignment horizontal="center"/>
    </xf>
    <xf numFmtId="164" fontId="28" fillId="0" borderId="0" xfId="4" quotePrefix="1" applyFont="1" applyFill="1" applyAlignment="1">
      <alignment horizontal="center"/>
    </xf>
    <xf numFmtId="0" fontId="28" fillId="0" borderId="0" xfId="6" applyFont="1" applyFill="1" applyBorder="1" applyAlignment="1" applyProtection="1">
      <alignment horizontal="center"/>
    </xf>
    <xf numFmtId="164" fontId="28" fillId="0" borderId="0" xfId="4" applyFont="1" applyFill="1" applyAlignment="1">
      <alignment horizontal="center"/>
    </xf>
    <xf numFmtId="164" fontId="88" fillId="0" borderId="0" xfId="4" applyFont="1" applyFill="1" applyBorder="1"/>
    <xf numFmtId="164" fontId="92" fillId="0" borderId="0" xfId="4" applyFont="1" applyFill="1" applyAlignment="1" applyProtection="1">
      <alignment horizontal="left"/>
    </xf>
    <xf numFmtId="164" fontId="92" fillId="0" borderId="0" xfId="4" quotePrefix="1" applyFont="1" applyFill="1" applyAlignment="1" applyProtection="1">
      <alignment horizontal="left"/>
    </xf>
    <xf numFmtId="164" fontId="28" fillId="0" borderId="0" xfId="4" applyFont="1" applyFill="1" applyBorder="1" applyAlignment="1" applyProtection="1">
      <alignment horizontal="left" indent="1"/>
    </xf>
    <xf numFmtId="164" fontId="88" fillId="0" borderId="8" xfId="18" applyFont="1" applyFill="1" applyBorder="1"/>
    <xf numFmtId="172" fontId="88" fillId="0" borderId="10" xfId="2" applyNumberFormat="1" applyFont="1" applyFill="1" applyBorder="1" applyProtection="1"/>
    <xf numFmtId="164" fontId="88" fillId="0" borderId="0" xfId="18" applyFont="1" applyFill="1"/>
    <xf numFmtId="168" fontId="88" fillId="0" borderId="0" xfId="1" applyNumberFormat="1" applyFont="1" applyFill="1" applyBorder="1"/>
    <xf numFmtId="164" fontId="88" fillId="0" borderId="3" xfId="18" applyFont="1" applyFill="1" applyBorder="1"/>
    <xf numFmtId="168" fontId="28" fillId="0" borderId="0" xfId="1" applyNumberFormat="1" applyFont="1" applyFill="1" applyBorder="1" applyProtection="1"/>
    <xf numFmtId="37" fontId="88" fillId="0" borderId="9" xfId="18" applyNumberFormat="1" applyFont="1" applyFill="1" applyBorder="1" applyProtection="1"/>
    <xf numFmtId="164" fontId="28" fillId="0" borderId="4" xfId="18" applyFont="1" applyFill="1" applyBorder="1" applyAlignment="1" applyProtection="1">
      <alignment horizontal="center"/>
    </xf>
    <xf numFmtId="164" fontId="28" fillId="0" borderId="5" xfId="18" applyFont="1" applyFill="1" applyBorder="1" applyAlignment="1" applyProtection="1">
      <alignment horizontal="center"/>
    </xf>
    <xf numFmtId="164" fontId="28" fillId="0" borderId="6" xfId="18" applyFont="1" applyFill="1" applyBorder="1" applyAlignment="1" applyProtection="1">
      <alignment horizontal="center"/>
    </xf>
    <xf numFmtId="164" fontId="28" fillId="0" borderId="0" xfId="18" applyFont="1" applyFill="1" applyAlignment="1">
      <alignment horizontal="center"/>
    </xf>
    <xf numFmtId="164" fontId="28" fillId="0" borderId="4" xfId="18" applyFont="1" applyFill="1" applyBorder="1" applyAlignment="1">
      <alignment horizontal="center"/>
    </xf>
    <xf numFmtId="164" fontId="28" fillId="0" borderId="5" xfId="18" applyFont="1" applyFill="1" applyBorder="1" applyAlignment="1">
      <alignment horizontal="center"/>
    </xf>
    <xf numFmtId="164" fontId="28" fillId="0" borderId="7" xfId="18" applyFont="1" applyFill="1" applyBorder="1" applyAlignment="1">
      <alignment horizontal="center"/>
    </xf>
    <xf numFmtId="164" fontId="28" fillId="0" borderId="9" xfId="18" applyFont="1" applyFill="1" applyBorder="1" applyAlignment="1">
      <alignment horizontal="center"/>
    </xf>
    <xf numFmtId="164" fontId="28" fillId="0" borderId="0" xfId="18" applyFont="1" applyFill="1" applyAlignment="1" applyProtection="1">
      <alignment horizontal="right"/>
    </xf>
    <xf numFmtId="164" fontId="28" fillId="0" borderId="0" xfId="18" quotePrefix="1" applyFont="1" applyFill="1" applyAlignment="1">
      <alignment horizontal="right"/>
    </xf>
    <xf numFmtId="10" fontId="88" fillId="0" borderId="8" xfId="12" applyNumberFormat="1" applyFont="1" applyFill="1" applyBorder="1" applyProtection="1"/>
    <xf numFmtId="10" fontId="88" fillId="0" borderId="0" xfId="12" applyNumberFormat="1" applyFont="1" applyFill="1"/>
    <xf numFmtId="168" fontId="28" fillId="0" borderId="0" xfId="1" applyNumberFormat="1" applyFont="1" applyFill="1" applyProtection="1"/>
    <xf numFmtId="168" fontId="88" fillId="0" borderId="0" xfId="1" applyNumberFormat="1" applyFont="1" applyFill="1"/>
    <xf numFmtId="164" fontId="91" fillId="0" borderId="0" xfId="0" applyFont="1" applyFill="1" applyAlignment="1" applyProtection="1">
      <alignment horizontal="left"/>
    </xf>
    <xf numFmtId="164" fontId="91" fillId="0" borderId="0" xfId="0" applyFont="1" applyFill="1" applyAlignment="1">
      <alignment horizontal="center"/>
    </xf>
    <xf numFmtId="164" fontId="89" fillId="0" borderId="0" xfId="0" applyFont="1" applyFill="1"/>
    <xf numFmtId="164" fontId="88" fillId="0" borderId="1" xfId="0" applyFont="1" applyFill="1" applyBorder="1" applyAlignment="1">
      <alignment horizontal="center"/>
    </xf>
    <xf numFmtId="164" fontId="28" fillId="0" borderId="0" xfId="4" applyFont="1" applyFill="1" applyAlignment="1" applyProtection="1">
      <alignment horizontal="center"/>
    </xf>
    <xf numFmtId="10" fontId="28" fillId="0" borderId="5" xfId="1" applyNumberFormat="1" applyFont="1" applyFill="1" applyBorder="1" applyProtection="1"/>
    <xf numFmtId="164" fontId="88" fillId="0" borderId="0" xfId="4" applyFont="1" applyFill="1" applyBorder="1" applyAlignment="1">
      <alignment horizontal="center"/>
    </xf>
    <xf numFmtId="164" fontId="88" fillId="0" borderId="1" xfId="4" applyFont="1" applyFill="1" applyBorder="1" applyAlignment="1">
      <alignment horizontal="center"/>
    </xf>
    <xf numFmtId="173" fontId="28" fillId="0" borderId="0" xfId="3" applyNumberFormat="1" applyFont="1" applyFill="1" applyBorder="1"/>
    <xf numFmtId="173" fontId="28" fillId="0" borderId="5" xfId="3" applyNumberFormat="1" applyFont="1" applyFill="1" applyBorder="1"/>
    <xf numFmtId="173" fontId="28" fillId="0" borderId="0" xfId="2" applyNumberFormat="1" applyFont="1" applyFill="1" applyBorder="1"/>
    <xf numFmtId="44" fontId="28" fillId="0" borderId="0" xfId="2" applyFont="1" applyFill="1" applyProtection="1"/>
    <xf numFmtId="37" fontId="88" fillId="0" borderId="0" xfId="0" applyNumberFormat="1" applyFont="1" applyFill="1" applyBorder="1" applyAlignment="1" applyProtection="1">
      <alignment horizontal="center"/>
    </xf>
    <xf numFmtId="44" fontId="28" fillId="0" borderId="0" xfId="2" applyFont="1" applyFill="1"/>
    <xf numFmtId="44" fontId="88" fillId="0" borderId="14" xfId="2" applyFont="1" applyFill="1" applyBorder="1" applyProtection="1"/>
    <xf numFmtId="164" fontId="92" fillId="0" borderId="0" xfId="18" quotePrefix="1" applyFont="1" applyFill="1" applyAlignment="1">
      <alignment horizontal="left"/>
    </xf>
    <xf numFmtId="166" fontId="28" fillId="0" borderId="17" xfId="13" applyNumberFormat="1" applyFont="1" applyFill="1"/>
    <xf numFmtId="173" fontId="28" fillId="0" borderId="9" xfId="2" applyNumberFormat="1" applyFont="1" applyFill="1" applyBorder="1" applyProtection="1"/>
    <xf numFmtId="37" fontId="28" fillId="0" borderId="9" xfId="18" applyNumberFormat="1" applyFont="1" applyFill="1" applyBorder="1" applyProtection="1"/>
    <xf numFmtId="173" fontId="88" fillId="0" borderId="10" xfId="2" applyNumberFormat="1" applyFont="1" applyFill="1" applyBorder="1" applyProtection="1"/>
    <xf numFmtId="37" fontId="88" fillId="0" borderId="9" xfId="4" applyNumberFormat="1" applyFont="1" applyFill="1" applyBorder="1" applyProtection="1"/>
    <xf numFmtId="174" fontId="28" fillId="0" borderId="6" xfId="4" applyNumberFormat="1" applyFont="1" applyFill="1" applyBorder="1" applyProtection="1"/>
    <xf numFmtId="39" fontId="28" fillId="0" borderId="0" xfId="4" applyNumberFormat="1" applyFont="1" applyFill="1" applyBorder="1" applyProtection="1"/>
    <xf numFmtId="44" fontId="88" fillId="0" borderId="14" xfId="2" applyFont="1" applyFill="1" applyBorder="1"/>
    <xf numFmtId="164" fontId="28" fillId="0" borderId="0" xfId="4" quotePrefix="1" applyFont="1" applyFill="1" applyAlignment="1">
      <alignment horizontal="right"/>
    </xf>
    <xf numFmtId="164" fontId="28" fillId="0" borderId="11" xfId="4" applyFont="1" applyFill="1" applyBorder="1" applyAlignment="1" applyProtection="1">
      <alignment horizontal="left"/>
    </xf>
    <xf numFmtId="164" fontId="28" fillId="0" borderId="9" xfId="4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vertical="center" wrapText="1"/>
    </xf>
    <xf numFmtId="164" fontId="28" fillId="0" borderId="1" xfId="0" quotePrefix="1" applyFont="1" applyFill="1" applyBorder="1" applyAlignment="1">
      <alignment horizontal="center" wrapText="1"/>
    </xf>
    <xf numFmtId="164" fontId="28" fillId="0" borderId="1" xfId="0" applyFont="1" applyFill="1" applyBorder="1" applyAlignment="1">
      <alignment horizontal="center" wrapText="1"/>
    </xf>
    <xf numFmtId="164" fontId="88" fillId="0" borderId="0" xfId="0" applyFont="1" applyFill="1" applyAlignment="1">
      <alignment horizontal="right"/>
    </xf>
    <xf numFmtId="0" fontId="28" fillId="0" borderId="6" xfId="3" applyFont="1" applyFill="1" applyBorder="1"/>
    <xf numFmtId="0" fontId="28" fillId="0" borderId="3" xfId="3" applyFont="1" applyFill="1" applyBorder="1"/>
    <xf numFmtId="164" fontId="88" fillId="0" borderId="0" xfId="4" applyFont="1" applyFill="1" applyAlignment="1" applyProtection="1">
      <alignment horizontal="centerContinuous"/>
    </xf>
    <xf numFmtId="164" fontId="28" fillId="0" borderId="0" xfId="4" applyFont="1" applyFill="1" applyAlignment="1" applyProtection="1">
      <alignment horizontal="right"/>
    </xf>
    <xf numFmtId="164" fontId="88" fillId="0" borderId="0" xfId="4" applyFont="1" applyFill="1" applyAlignment="1" applyProtection="1"/>
    <xf numFmtId="164" fontId="28" fillId="0" borderId="0" xfId="4" applyFont="1" applyFill="1" applyAlignment="1" applyProtection="1">
      <alignment horizontal="centerContinuous"/>
    </xf>
    <xf numFmtId="164" fontId="28" fillId="0" borderId="1" xfId="4" applyFont="1" applyFill="1" applyBorder="1" applyAlignment="1">
      <alignment horizontal="center"/>
    </xf>
    <xf numFmtId="164" fontId="28" fillId="0" borderId="1" xfId="4" applyFont="1" applyFill="1" applyBorder="1" applyAlignment="1" applyProtection="1">
      <alignment horizontal="center"/>
    </xf>
    <xf numFmtId="173" fontId="28" fillId="0" borderId="0" xfId="2" applyNumberFormat="1" applyFont="1" applyFill="1" applyProtection="1"/>
    <xf numFmtId="10" fontId="28" fillId="0" borderId="0" xfId="12" applyNumberFormat="1" applyFont="1" applyFill="1" applyProtection="1"/>
    <xf numFmtId="175" fontId="28" fillId="0" borderId="0" xfId="4" applyNumberFormat="1" applyFont="1" applyFill="1" applyProtection="1"/>
    <xf numFmtId="10" fontId="28" fillId="0" borderId="0" xfId="4" applyNumberFormat="1" applyFont="1" applyFill="1" applyProtection="1"/>
    <xf numFmtId="5" fontId="28" fillId="0" borderId="0" xfId="4" applyNumberFormat="1" applyFont="1" applyFill="1" applyProtection="1"/>
    <xf numFmtId="165" fontId="28" fillId="0" borderId="0" xfId="4" applyNumberFormat="1" applyFont="1" applyFill="1" applyProtection="1"/>
    <xf numFmtId="37" fontId="28" fillId="0" borderId="0" xfId="4" applyNumberFormat="1" applyFont="1" applyFill="1" applyAlignment="1" applyProtection="1">
      <alignment horizontal="right"/>
    </xf>
    <xf numFmtId="164" fontId="28" fillId="0" borderId="0" xfId="4" applyFont="1" applyFill="1" applyAlignment="1">
      <alignment horizontal="left"/>
    </xf>
    <xf numFmtId="168" fontId="28" fillId="0" borderId="5" xfId="1" applyNumberFormat="1" applyFont="1" applyFill="1" applyBorder="1" applyProtection="1"/>
    <xf numFmtId="168" fontId="28" fillId="0" borderId="4" xfId="1" applyNumberFormat="1" applyFont="1" applyFill="1" applyBorder="1" applyProtection="1"/>
    <xf numFmtId="168" fontId="28" fillId="0" borderId="5" xfId="1" applyNumberFormat="1" applyFont="1" applyFill="1" applyBorder="1"/>
    <xf numFmtId="164" fontId="28" fillId="0" borderId="4" xfId="4" applyFont="1" applyFill="1" applyBorder="1" applyAlignment="1">
      <alignment horizontal="center"/>
    </xf>
    <xf numFmtId="164" fontId="28" fillId="0" borderId="2" xfId="4" applyFont="1" applyFill="1" applyBorder="1"/>
    <xf numFmtId="164" fontId="28" fillId="0" borderId="4" xfId="4" applyFont="1" applyFill="1" applyBorder="1" applyAlignment="1" applyProtection="1">
      <alignment horizontal="center"/>
    </xf>
    <xf numFmtId="164" fontId="28" fillId="0" borderId="4" xfId="4" applyFont="1" applyFill="1" applyBorder="1"/>
    <xf numFmtId="174" fontId="28" fillId="0" borderId="4" xfId="4" applyNumberFormat="1" applyFont="1" applyFill="1" applyBorder="1" applyAlignment="1">
      <alignment horizontal="centerContinuous"/>
    </xf>
    <xf numFmtId="174" fontId="28" fillId="0" borderId="5" xfId="4" applyNumberFormat="1" applyFont="1" applyFill="1" applyBorder="1" applyAlignment="1" applyProtection="1">
      <alignment horizontal="center"/>
    </xf>
    <xf numFmtId="164" fontId="28" fillId="0" borderId="5" xfId="4" applyFont="1" applyFill="1" applyBorder="1" applyAlignment="1">
      <alignment horizontal="center"/>
    </xf>
    <xf numFmtId="164" fontId="28" fillId="0" borderId="6" xfId="4" applyFont="1" applyFill="1" applyBorder="1" applyAlignment="1" applyProtection="1">
      <alignment horizontal="center"/>
    </xf>
    <xf numFmtId="174" fontId="28" fillId="0" borderId="6" xfId="4" applyNumberFormat="1" applyFont="1" applyFill="1" applyBorder="1" applyAlignment="1" applyProtection="1">
      <alignment horizontal="center"/>
    </xf>
    <xf numFmtId="164" fontId="28" fillId="0" borderId="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/>
    </xf>
    <xf numFmtId="164" fontId="28" fillId="0" borderId="3" xfId="4" applyFont="1" applyFill="1" applyBorder="1"/>
    <xf numFmtId="174" fontId="28" fillId="0" borderId="3" xfId="4" applyNumberFormat="1" applyFont="1" applyFill="1" applyBorder="1"/>
    <xf numFmtId="164" fontId="28" fillId="0" borderId="16" xfId="4" applyFont="1" applyFill="1" applyBorder="1"/>
    <xf numFmtId="164" fontId="28" fillId="0" borderId="16" xfId="4" applyFont="1" applyFill="1" applyBorder="1" applyAlignment="1">
      <alignment horizontal="center"/>
    </xf>
    <xf numFmtId="164" fontId="28" fillId="0" borderId="12" xfId="4" applyFont="1" applyFill="1" applyBorder="1" applyAlignment="1" applyProtection="1">
      <alignment horizontal="left" indent="1"/>
    </xf>
    <xf numFmtId="37" fontId="28" fillId="0" borderId="5" xfId="4" applyNumberFormat="1" applyFont="1" applyFill="1" applyBorder="1" applyProtection="1"/>
    <xf numFmtId="37" fontId="28" fillId="0" borderId="0" xfId="4" applyNumberFormat="1" applyFont="1" applyFill="1" applyBorder="1" applyProtection="1"/>
    <xf numFmtId="164" fontId="28" fillId="0" borderId="13" xfId="4" applyFont="1" applyFill="1" applyBorder="1"/>
    <xf numFmtId="164" fontId="28" fillId="0" borderId="1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 indent="1"/>
    </xf>
    <xf numFmtId="164" fontId="88" fillId="0" borderId="8" xfId="4" applyFont="1" applyFill="1" applyBorder="1"/>
    <xf numFmtId="164" fontId="88" fillId="0" borderId="8" xfId="4" applyFont="1" applyFill="1" applyBorder="1" applyAlignment="1">
      <alignment horizontal="center"/>
    </xf>
    <xf numFmtId="37" fontId="88" fillId="0" borderId="10" xfId="4" applyNumberFormat="1" applyFont="1" applyFill="1" applyBorder="1" applyProtection="1"/>
    <xf numFmtId="37" fontId="88" fillId="0" borderId="0" xfId="4" applyNumberFormat="1" applyFont="1" applyFill="1" applyBorder="1" applyProtection="1"/>
    <xf numFmtId="174" fontId="88" fillId="0" borderId="10" xfId="4" applyNumberFormat="1" applyFont="1" applyFill="1" applyBorder="1" applyProtection="1"/>
    <xf numFmtId="37" fontId="88" fillId="0" borderId="8" xfId="4" applyNumberFormat="1" applyFont="1" applyFill="1" applyBorder="1" applyProtection="1"/>
    <xf numFmtId="10" fontId="88" fillId="0" borderId="10" xfId="1" applyNumberFormat="1" applyFont="1" applyFill="1" applyBorder="1" applyProtection="1"/>
    <xf numFmtId="164" fontId="88" fillId="0" borderId="0" xfId="4" applyFont="1" applyFill="1"/>
    <xf numFmtId="10" fontId="28" fillId="0" borderId="5" xfId="4" applyNumberFormat="1" applyFont="1" applyFill="1" applyBorder="1" applyProtection="1"/>
    <xf numFmtId="164" fontId="28" fillId="0" borderId="0" xfId="4" applyFont="1" applyFill="1" applyBorder="1" applyProtection="1"/>
    <xf numFmtId="174" fontId="88" fillId="0" borderId="10" xfId="1" applyNumberFormat="1" applyFont="1" applyFill="1" applyBorder="1" applyProtection="1"/>
    <xf numFmtId="164" fontId="28" fillId="0" borderId="12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>
      <alignment horizontal="left"/>
    </xf>
    <xf numFmtId="174" fontId="88" fillId="0" borderId="10" xfId="4" applyNumberFormat="1" applyFont="1" applyFill="1" applyBorder="1"/>
    <xf numFmtId="164" fontId="88" fillId="0" borderId="0" xfId="4" applyFont="1" applyFill="1" applyBorder="1" applyAlignment="1" applyProtection="1">
      <alignment horizontal="left" indent="1"/>
    </xf>
    <xf numFmtId="164" fontId="88" fillId="0" borderId="10" xfId="4" applyFont="1" applyFill="1" applyBorder="1" applyAlignment="1">
      <alignment horizontal="center"/>
    </xf>
    <xf numFmtId="37" fontId="28" fillId="0" borderId="0" xfId="4" applyNumberFormat="1" applyFont="1" applyFill="1" applyBorder="1"/>
    <xf numFmtId="37" fontId="28" fillId="0" borderId="3" xfId="4" applyNumberFormat="1" applyFont="1" applyFill="1" applyBorder="1"/>
    <xf numFmtId="10" fontId="28" fillId="0" borderId="1" xfId="1" applyNumberFormat="1" applyFont="1" applyFill="1" applyBorder="1" applyProtection="1"/>
    <xf numFmtId="37" fontId="28" fillId="0" borderId="0" xfId="4" applyNumberFormat="1" applyFont="1" applyFill="1" applyBorder="1" applyAlignment="1" applyProtection="1">
      <alignment horizontal="left"/>
    </xf>
    <xf numFmtId="10" fontId="28" fillId="0" borderId="9" xfId="1" applyNumberFormat="1" applyFont="1" applyFill="1" applyBorder="1" applyProtection="1"/>
    <xf numFmtId="174" fontId="28" fillId="0" borderId="5" xfId="4" applyNumberFormat="1" applyFont="1" applyFill="1" applyBorder="1" applyProtection="1"/>
    <xf numFmtId="174" fontId="28" fillId="0" borderId="5" xfId="1" applyNumberFormat="1" applyFont="1" applyFill="1" applyBorder="1" applyProtection="1"/>
    <xf numFmtId="164" fontId="88" fillId="0" borderId="7" xfId="4" applyFont="1" applyFill="1" applyBorder="1" applyAlignment="1" applyProtection="1">
      <alignment horizontal="left" indent="1"/>
    </xf>
    <xf numFmtId="164" fontId="88" fillId="0" borderId="13" xfId="4" applyFont="1" applyFill="1" applyBorder="1"/>
    <xf numFmtId="164" fontId="88" fillId="0" borderId="10" xfId="4" applyFont="1" applyFill="1" applyBorder="1"/>
    <xf numFmtId="10" fontId="88" fillId="0" borderId="8" xfId="1" applyNumberFormat="1" applyFont="1" applyFill="1" applyBorder="1" applyProtection="1"/>
    <xf numFmtId="164" fontId="88" fillId="0" borderId="3" xfId="4" applyFont="1" applyFill="1" applyBorder="1"/>
    <xf numFmtId="37" fontId="88" fillId="0" borderId="13" xfId="4" applyNumberFormat="1" applyFont="1" applyFill="1" applyBorder="1" applyProtection="1"/>
    <xf numFmtId="164" fontId="28" fillId="0" borderId="1" xfId="4" applyFont="1" applyFill="1" applyBorder="1"/>
    <xf numFmtId="164" fontId="28" fillId="0" borderId="0" xfId="4" quotePrefix="1" applyFont="1" applyFill="1" applyBorder="1" applyAlignment="1" applyProtection="1">
      <alignment horizontal="left"/>
    </xf>
    <xf numFmtId="164" fontId="88" fillId="0" borderId="0" xfId="4" quotePrefix="1" applyFont="1" applyFill="1" applyBorder="1" applyAlignment="1">
      <alignment horizontal="left"/>
    </xf>
    <xf numFmtId="164" fontId="88" fillId="0" borderId="0" xfId="4" applyFont="1" applyFill="1" applyAlignment="1">
      <alignment horizontal="center"/>
    </xf>
    <xf numFmtId="0" fontId="28" fillId="0" borderId="11" xfId="3" applyFont="1" applyFill="1" applyBorder="1" applyAlignment="1" applyProtection="1">
      <alignment horizontal="center" wrapText="1"/>
    </xf>
    <xf numFmtId="0" fontId="28" fillId="0" borderId="4" xfId="3" applyFont="1" applyFill="1" applyBorder="1" applyAlignment="1" applyProtection="1">
      <alignment horizontal="center" wrapText="1"/>
    </xf>
    <xf numFmtId="0" fontId="28" fillId="0" borderId="1" xfId="3" quotePrefix="1" applyFont="1" applyFill="1" applyBorder="1" applyAlignment="1" applyProtection="1">
      <alignment horizontal="center"/>
    </xf>
    <xf numFmtId="0" fontId="28" fillId="0" borderId="13" xfId="3" quotePrefix="1" applyFont="1" applyFill="1" applyBorder="1" applyAlignment="1" applyProtection="1">
      <alignment horizontal="center"/>
    </xf>
    <xf numFmtId="0" fontId="28" fillId="0" borderId="8" xfId="3" applyFont="1" applyFill="1" applyBorder="1"/>
    <xf numFmtId="173" fontId="28" fillId="0" borderId="4" xfId="3" applyNumberFormat="1" applyFont="1" applyFill="1" applyBorder="1"/>
    <xf numFmtId="0" fontId="28" fillId="0" borderId="1" xfId="3" applyFont="1" applyFill="1" applyBorder="1"/>
    <xf numFmtId="164" fontId="28" fillId="0" borderId="0" xfId="0" applyFont="1" applyFill="1"/>
    <xf numFmtId="164" fontId="88" fillId="0" borderId="0" xfId="0" applyFont="1" applyFill="1"/>
    <xf numFmtId="164" fontId="28" fillId="0" borderId="0" xfId="0" applyFont="1" applyFill="1" applyAlignment="1" applyProtection="1">
      <alignment horizontal="left"/>
    </xf>
    <xf numFmtId="164" fontId="28" fillId="0" borderId="0" xfId="18" applyFont="1" applyFill="1"/>
    <xf numFmtId="164" fontId="28" fillId="0" borderId="0" xfId="0" quotePrefix="1" applyFont="1" applyFill="1"/>
    <xf numFmtId="44" fontId="28" fillId="0" borderId="0" xfId="2" applyNumberFormat="1" applyFont="1" applyFill="1"/>
    <xf numFmtId="164" fontId="92" fillId="0" borderId="0" xfId="0" applyFont="1" applyFill="1"/>
    <xf numFmtId="164" fontId="28" fillId="0" borderId="1" xfId="0" applyFont="1" applyFill="1" applyBorder="1" applyAlignment="1">
      <alignment horizontal="center"/>
    </xf>
    <xf numFmtId="164" fontId="92" fillId="0" borderId="0" xfId="0" quotePrefix="1" applyFont="1" applyFill="1" applyAlignment="1">
      <alignment wrapText="1"/>
    </xf>
    <xf numFmtId="164" fontId="88" fillId="0" borderId="1" xfId="0" applyFont="1" applyFill="1" applyBorder="1" applyAlignment="1">
      <alignment horizontal="center" wrapText="1"/>
    </xf>
    <xf numFmtId="164" fontId="88" fillId="0" borderId="0" xfId="0" quotePrefix="1" applyFont="1" applyFill="1" applyAlignment="1" applyProtection="1">
      <alignment horizontal="left"/>
    </xf>
    <xf numFmtId="0" fontId="28" fillId="0" borderId="0" xfId="3" applyFont="1" applyFill="1"/>
    <xf numFmtId="0" fontId="28" fillId="0" borderId="0" xfId="3" applyFont="1" applyFill="1" applyAlignment="1"/>
    <xf numFmtId="0" fontId="28" fillId="0" borderId="0" xfId="3" applyFont="1" applyFill="1" applyAlignment="1" applyProtection="1">
      <alignment horizontal="center"/>
    </xf>
    <xf numFmtId="0" fontId="28" fillId="0" borderId="0" xfId="3" applyFont="1" applyFill="1" applyBorder="1"/>
    <xf numFmtId="0" fontId="28" fillId="0" borderId="0" xfId="3" applyFont="1" applyFill="1" applyAlignment="1">
      <alignment horizontal="center"/>
    </xf>
    <xf numFmtId="0" fontId="28" fillId="0" borderId="16" xfId="3" applyFont="1" applyFill="1" applyBorder="1" applyAlignment="1" applyProtection="1">
      <alignment horizontal="center" wrapText="1"/>
    </xf>
    <xf numFmtId="0" fontId="28" fillId="0" borderId="0" xfId="3" applyFont="1" applyFill="1" applyAlignment="1">
      <alignment horizontal="center" wrapText="1"/>
    </xf>
    <xf numFmtId="0" fontId="28" fillId="0" borderId="0" xfId="3" applyFont="1" applyFill="1" applyAlignment="1">
      <alignment wrapText="1"/>
    </xf>
    <xf numFmtId="0" fontId="28" fillId="0" borderId="6" xfId="3" applyFont="1" applyFill="1" applyBorder="1" applyAlignment="1" applyProtection="1">
      <alignment horizontal="center"/>
    </xf>
    <xf numFmtId="0" fontId="28" fillId="0" borderId="13" xfId="3" applyFont="1" applyFill="1" applyBorder="1" applyAlignment="1" applyProtection="1">
      <alignment horizontal="center"/>
    </xf>
    <xf numFmtId="0" fontId="28" fillId="0" borderId="6" xfId="3" quotePrefix="1" applyFont="1" applyFill="1" applyBorder="1" applyAlignment="1" applyProtection="1">
      <alignment horizontal="center"/>
    </xf>
    <xf numFmtId="0" fontId="88" fillId="0" borderId="3" xfId="3" applyFont="1" applyFill="1" applyBorder="1" applyAlignment="1" applyProtection="1">
      <alignment horizontal="left"/>
    </xf>
    <xf numFmtId="0" fontId="28" fillId="0" borderId="4" xfId="3" applyFont="1" applyFill="1" applyBorder="1" applyAlignment="1" applyProtection="1">
      <alignment horizontal="left"/>
    </xf>
    <xf numFmtId="0" fontId="28" fillId="0" borderId="0" xfId="3" applyFont="1" applyFill="1" applyBorder="1" applyAlignment="1">
      <alignment horizontal="center"/>
    </xf>
    <xf numFmtId="0" fontId="28" fillId="0" borderId="12" xfId="3" applyFont="1" applyFill="1" applyBorder="1" applyAlignment="1" applyProtection="1">
      <alignment horizontal="left"/>
    </xf>
    <xf numFmtId="0" fontId="28" fillId="0" borderId="5" xfId="3" quotePrefix="1" applyFont="1" applyFill="1" applyBorder="1" applyAlignment="1">
      <alignment horizontal="center"/>
    </xf>
    <xf numFmtId="0" fontId="28" fillId="0" borderId="5" xfId="3" applyFont="1" applyFill="1" applyBorder="1" applyAlignment="1" applyProtection="1">
      <alignment horizontal="center"/>
    </xf>
    <xf numFmtId="0" fontId="28" fillId="0" borderId="15" xfId="3" applyFont="1" applyFill="1" applyBorder="1" applyAlignment="1" applyProtection="1">
      <alignment horizontal="left"/>
    </xf>
    <xf numFmtId="0" fontId="28" fillId="0" borderId="0" xfId="3" applyFont="1" applyFill="1" applyBorder="1" applyAlignment="1" applyProtection="1">
      <alignment horizontal="left"/>
    </xf>
    <xf numFmtId="0" fontId="92" fillId="0" borderId="0" xfId="3" quotePrefix="1" applyFont="1" applyFill="1" applyAlignment="1">
      <alignment horizontal="left"/>
    </xf>
    <xf numFmtId="0" fontId="28" fillId="0" borderId="0" xfId="3" applyFont="1" applyFill="1" applyBorder="1" applyAlignment="1" applyProtection="1">
      <alignment horizontal="center"/>
    </xf>
    <xf numFmtId="0" fontId="28" fillId="0" borderId="0" xfId="3" applyFont="1" applyFill="1" applyAlignment="1">
      <alignment horizontal="left"/>
    </xf>
    <xf numFmtId="177" fontId="28" fillId="0" borderId="0" xfId="12" applyNumberFormat="1" applyFont="1" applyFill="1" applyBorder="1" applyAlignment="1">
      <alignment horizontal="right"/>
    </xf>
    <xf numFmtId="0" fontId="28" fillId="0" borderId="0" xfId="3" applyFont="1" applyFill="1" applyAlignment="1">
      <alignment horizontal="right"/>
    </xf>
    <xf numFmtId="10" fontId="88" fillId="0" borderId="0" xfId="18" applyNumberFormat="1" applyFont="1" applyFill="1"/>
    <xf numFmtId="10" fontId="28" fillId="0" borderId="0" xfId="18" applyNumberFormat="1" applyFont="1" applyFill="1"/>
    <xf numFmtId="168" fontId="88" fillId="0" borderId="3" xfId="1" applyNumberFormat="1" applyFont="1" applyFill="1" applyBorder="1" applyProtection="1"/>
    <xf numFmtId="168" fontId="88" fillId="0" borderId="10" xfId="1" applyNumberFormat="1" applyFont="1" applyFill="1" applyBorder="1" applyProtection="1"/>
    <xf numFmtId="3" fontId="28" fillId="0" borderId="0" xfId="0" applyNumberFormat="1" applyFont="1" applyFill="1"/>
    <xf numFmtId="0" fontId="28" fillId="0" borderId="7" xfId="3" applyFont="1" applyFill="1" applyBorder="1"/>
    <xf numFmtId="0" fontId="28" fillId="0" borderId="5" xfId="3" applyFont="1" applyFill="1" applyBorder="1" applyAlignment="1" applyProtection="1">
      <alignment horizontal="left"/>
    </xf>
    <xf numFmtId="173" fontId="28" fillId="0" borderId="4" xfId="2" applyNumberFormat="1" applyFont="1" applyFill="1" applyBorder="1" applyAlignment="1" applyProtection="1">
      <alignment horizontal="center"/>
    </xf>
    <xf numFmtId="173" fontId="28" fillId="0" borderId="11" xfId="3" applyNumberFormat="1" applyFont="1" applyFill="1" applyBorder="1"/>
    <xf numFmtId="0" fontId="28" fillId="0" borderId="6" xfId="3" applyFont="1" applyFill="1" applyBorder="1" applyAlignment="1" applyProtection="1">
      <alignment horizontal="left"/>
    </xf>
    <xf numFmtId="0" fontId="28" fillId="0" borderId="1" xfId="3" applyFont="1" applyFill="1" applyBorder="1" applyAlignment="1" applyProtection="1">
      <alignment horizontal="center"/>
    </xf>
    <xf numFmtId="44" fontId="28" fillId="0" borderId="6" xfId="2" applyFont="1" applyFill="1" applyBorder="1" applyAlignment="1" applyProtection="1">
      <alignment horizontal="center"/>
    </xf>
    <xf numFmtId="173" fontId="28" fillId="0" borderId="15" xfId="2" applyNumberFormat="1" applyFont="1" applyFill="1" applyBorder="1"/>
    <xf numFmtId="173" fontId="28" fillId="0" borderId="15" xfId="3" applyNumberFormat="1" applyFont="1" applyFill="1" applyBorder="1"/>
    <xf numFmtId="173" fontId="28" fillId="0" borderId="6" xfId="3" applyNumberFormat="1" applyFont="1" applyFill="1" applyBorder="1"/>
    <xf numFmtId="174" fontId="28" fillId="0" borderId="0" xfId="18" applyNumberFormat="1" applyFont="1" applyFill="1" applyAlignment="1">
      <alignment horizontal="centerContinuous"/>
    </xf>
    <xf numFmtId="174" fontId="88" fillId="0" borderId="0" xfId="18" applyNumberFormat="1" applyFont="1" applyFill="1" applyAlignment="1" applyProtection="1">
      <alignment horizontal="centerContinuous"/>
    </xf>
    <xf numFmtId="164" fontId="28" fillId="0" borderId="1" xfId="18" applyFont="1" applyFill="1" applyBorder="1" applyAlignment="1">
      <alignment horizontal="center"/>
    </xf>
    <xf numFmtId="164" fontId="88" fillId="0" borderId="1" xfId="18" applyFont="1" applyFill="1" applyBorder="1" applyAlignment="1" applyProtection="1">
      <alignment horizontal="left"/>
    </xf>
    <xf numFmtId="164" fontId="28" fillId="0" borderId="1" xfId="18" applyFont="1" applyFill="1" applyBorder="1"/>
    <xf numFmtId="168" fontId="28" fillId="0" borderId="1" xfId="1" applyNumberFormat="1" applyFont="1" applyFill="1" applyBorder="1" applyProtection="1"/>
    <xf numFmtId="37" fontId="28" fillId="0" borderId="0" xfId="18" applyNumberFormat="1" applyFont="1" applyFill="1" applyBorder="1" applyProtection="1"/>
    <xf numFmtId="173" fontId="28" fillId="0" borderId="1" xfId="2" applyNumberFormat="1" applyFont="1" applyFill="1" applyBorder="1" applyProtection="1"/>
    <xf numFmtId="172" fontId="28" fillId="0" borderId="1" xfId="2" applyNumberFormat="1" applyFont="1" applyFill="1" applyBorder="1" applyProtection="1"/>
    <xf numFmtId="10" fontId="28" fillId="0" borderId="1" xfId="12" applyNumberFormat="1" applyFont="1" applyFill="1" applyBorder="1" applyProtection="1"/>
    <xf numFmtId="164" fontId="28" fillId="0" borderId="12" xfId="18" applyFont="1" applyFill="1" applyBorder="1" applyAlignment="1" applyProtection="1">
      <alignment horizontal="center"/>
    </xf>
    <xf numFmtId="164" fontId="28" fillId="0" borderId="11" xfId="18" applyFont="1" applyFill="1" applyBorder="1" applyAlignment="1" applyProtection="1">
      <alignment horizontal="left"/>
    </xf>
    <xf numFmtId="168" fontId="28" fillId="0" borderId="4" xfId="1" applyNumberFormat="1" applyFont="1" applyFill="1" applyBorder="1"/>
    <xf numFmtId="173" fontId="28" fillId="0" borderId="4" xfId="2" applyNumberFormat="1" applyFont="1" applyFill="1" applyBorder="1"/>
    <xf numFmtId="172" fontId="28" fillId="0" borderId="4" xfId="2" applyNumberFormat="1" applyFont="1" applyFill="1" applyBorder="1"/>
    <xf numFmtId="164" fontId="28" fillId="0" borderId="12" xfId="18" applyFont="1" applyFill="1" applyBorder="1" applyAlignment="1" applyProtection="1">
      <alignment horizontal="left"/>
    </xf>
    <xf numFmtId="173" fontId="28" fillId="0" borderId="5" xfId="2" applyNumberFormat="1" applyFont="1" applyFill="1" applyBorder="1" applyProtection="1"/>
    <xf numFmtId="172" fontId="28" fillId="0" borderId="5" xfId="2" applyNumberFormat="1" applyFont="1" applyFill="1" applyBorder="1" applyProtection="1"/>
    <xf numFmtId="168" fontId="28" fillId="0" borderId="6" xfId="1" applyNumberFormat="1" applyFont="1" applyFill="1" applyBorder="1" applyProtection="1"/>
    <xf numFmtId="10" fontId="28" fillId="0" borderId="13" xfId="12" applyNumberFormat="1" applyFont="1" applyFill="1" applyBorder="1" applyProtection="1"/>
    <xf numFmtId="164" fontId="28" fillId="0" borderId="10" xfId="18" applyFont="1" applyFill="1" applyBorder="1" applyAlignment="1">
      <alignment horizontal="center"/>
    </xf>
    <xf numFmtId="164" fontId="88" fillId="0" borderId="7" xfId="18" applyFont="1" applyFill="1" applyBorder="1" applyAlignment="1" applyProtection="1">
      <alignment horizontal="left"/>
    </xf>
    <xf numFmtId="168" fontId="88" fillId="0" borderId="10" xfId="1" applyNumberFormat="1" applyFont="1" applyFill="1" applyBorder="1"/>
    <xf numFmtId="164" fontId="88" fillId="0" borderId="0" xfId="18" applyFont="1" applyFill="1" applyBorder="1"/>
    <xf numFmtId="173" fontId="88" fillId="0" borderId="10" xfId="2" applyNumberFormat="1" applyFont="1" applyFill="1" applyBorder="1"/>
    <xf numFmtId="172" fontId="88" fillId="0" borderId="10" xfId="2" applyNumberFormat="1" applyFont="1" applyFill="1" applyBorder="1"/>
    <xf numFmtId="164" fontId="28" fillId="0" borderId="0" xfId="18" applyFont="1" applyFill="1" applyBorder="1" applyAlignment="1">
      <alignment horizontal="center"/>
    </xf>
    <xf numFmtId="164" fontId="88" fillId="0" borderId="0" xfId="18" applyFont="1" applyFill="1" applyBorder="1" applyAlignment="1" applyProtection="1">
      <alignment horizontal="left"/>
    </xf>
    <xf numFmtId="168" fontId="88" fillId="0" borderId="3" xfId="1" applyNumberFormat="1" applyFont="1" applyFill="1" applyBorder="1"/>
    <xf numFmtId="173" fontId="88" fillId="0" borderId="0" xfId="2" applyNumberFormat="1" applyFont="1" applyFill="1" applyBorder="1"/>
    <xf numFmtId="172" fontId="88" fillId="0" borderId="0" xfId="2" applyNumberFormat="1" applyFont="1" applyFill="1" applyBorder="1"/>
    <xf numFmtId="10" fontId="88" fillId="0" borderId="0" xfId="12" applyNumberFormat="1" applyFont="1" applyFill="1" applyBorder="1"/>
    <xf numFmtId="168" fontId="28" fillId="0" borderId="0" xfId="1" applyNumberFormat="1" applyFont="1" applyFill="1" applyAlignment="1">
      <alignment horizontal="left"/>
    </xf>
    <xf numFmtId="203" fontId="28" fillId="0" borderId="0" xfId="1" applyNumberFormat="1" applyFont="1" applyFill="1" applyProtection="1"/>
    <xf numFmtId="43" fontId="28" fillId="0" borderId="0" xfId="1" applyFont="1" applyFill="1" applyProtection="1"/>
    <xf numFmtId="164" fontId="28" fillId="0" borderId="0" xfId="4" applyFont="1" applyFill="1" applyBorder="1" applyAlignment="1">
      <alignment horizontal="center"/>
    </xf>
    <xf numFmtId="10" fontId="28" fillId="0" borderId="0" xfId="12" applyNumberFormat="1" applyFont="1" applyFill="1" applyBorder="1"/>
    <xf numFmtId="44" fontId="28" fillId="0" borderId="0" xfId="2" applyFont="1" applyFill="1" applyAlignment="1" applyProtection="1">
      <alignment horizontal="center"/>
    </xf>
    <xf numFmtId="0" fontId="28" fillId="0" borderId="0" xfId="51494" applyFont="1" applyFill="1" applyAlignment="1">
      <alignment horizontal="right" readingOrder="1"/>
    </xf>
    <xf numFmtId="0" fontId="28" fillId="0" borderId="0" xfId="51494" quotePrefix="1" applyFont="1" applyFill="1" applyAlignment="1">
      <alignment horizontal="right" readingOrder="1"/>
    </xf>
    <xf numFmtId="4" fontId="28" fillId="0" borderId="0" xfId="0" applyNumberFormat="1" applyFont="1" applyFill="1"/>
    <xf numFmtId="4" fontId="28" fillId="0" borderId="1" xfId="0" applyNumberFormat="1" applyFont="1" applyFill="1" applyBorder="1"/>
    <xf numFmtId="10" fontId="88" fillId="0" borderId="0" xfId="0" applyNumberFormat="1" applyFont="1" applyFill="1"/>
    <xf numFmtId="176" fontId="88" fillId="0" borderId="0" xfId="0" applyNumberFormat="1" applyFont="1" applyFill="1"/>
    <xf numFmtId="164" fontId="88" fillId="0" borderId="0" xfId="0" applyFont="1" applyFill="1" applyAlignment="1" applyProtection="1">
      <alignment horizontal="center"/>
    </xf>
    <xf numFmtId="164" fontId="88" fillId="0" borderId="1" xfId="0" applyFont="1" applyFill="1" applyBorder="1" applyAlignment="1" applyProtection="1">
      <alignment horizontal="center"/>
    </xf>
    <xf numFmtId="164" fontId="28" fillId="0" borderId="0" xfId="0" applyFont="1" applyFill="1" applyAlignment="1">
      <alignment horizontal="center"/>
    </xf>
    <xf numFmtId="14" fontId="88" fillId="0" borderId="1" xfId="0" applyNumberFormat="1" applyFont="1" applyFill="1" applyBorder="1" applyAlignment="1">
      <alignment horizontal="center" wrapText="1"/>
    </xf>
    <xf numFmtId="44" fontId="88" fillId="0" borderId="14" xfId="2" applyNumberFormat="1" applyFont="1" applyFill="1" applyBorder="1"/>
    <xf numFmtId="39" fontId="28" fillId="0" borderId="0" xfId="0" applyNumberFormat="1" applyFont="1" applyFill="1"/>
    <xf numFmtId="17" fontId="88" fillId="0" borderId="0" xfId="0" applyNumberFormat="1" applyFont="1" applyFill="1" applyAlignment="1" applyProtection="1">
      <alignment horizontal="right"/>
    </xf>
    <xf numFmtId="10" fontId="91" fillId="0" borderId="0" xfId="0" applyNumberFormat="1" applyFont="1" applyFill="1" applyProtection="1"/>
    <xf numFmtId="167" fontId="91" fillId="0" borderId="0" xfId="0" applyNumberFormat="1" applyFont="1" applyFill="1" applyProtection="1"/>
    <xf numFmtId="204" fontId="28" fillId="0" borderId="0" xfId="0" applyNumberFormat="1" applyFont="1" applyFill="1"/>
    <xf numFmtId="37" fontId="28" fillId="0" borderId="0" xfId="0" applyNumberFormat="1" applyFont="1" applyFill="1"/>
    <xf numFmtId="204" fontId="88" fillId="0" borderId="0" xfId="0" applyNumberFormat="1" applyFont="1" applyFill="1"/>
    <xf numFmtId="37" fontId="88" fillId="0" borderId="0" xfId="0" applyNumberFormat="1" applyFont="1" applyFill="1"/>
    <xf numFmtId="205" fontId="28" fillId="0" borderId="0" xfId="0" applyNumberFormat="1" applyFont="1" applyFill="1"/>
    <xf numFmtId="164" fontId="91" fillId="46" borderId="0" xfId="0" applyFont="1" applyFill="1" applyAlignment="1">
      <alignment horizontal="center"/>
    </xf>
    <xf numFmtId="43" fontId="28" fillId="0" borderId="5" xfId="1" applyNumberFormat="1" applyFont="1" applyFill="1" applyBorder="1" applyProtection="1"/>
    <xf numFmtId="37" fontId="28" fillId="0" borderId="3" xfId="4" applyNumberFormat="1" applyFont="1" applyFill="1" applyBorder="1" applyProtection="1"/>
    <xf numFmtId="37" fontId="28" fillId="0" borderId="5" xfId="4" applyNumberFormat="1" applyFont="1" applyFill="1" applyBorder="1"/>
    <xf numFmtId="37" fontId="28" fillId="0" borderId="4" xfId="4" applyNumberFormat="1" applyFont="1" applyFill="1" applyBorder="1"/>
    <xf numFmtId="164" fontId="88" fillId="0" borderId="0" xfId="4" quotePrefix="1" applyFont="1" applyFill="1" applyAlignment="1">
      <alignment horizontal="left"/>
    </xf>
    <xf numFmtId="164" fontId="88" fillId="0" borderId="0" xfId="0" applyFont="1" applyFill="1" applyAlignment="1">
      <alignment horizontal="center"/>
    </xf>
    <xf numFmtId="44" fontId="28" fillId="0" borderId="14" xfId="2" applyFont="1" applyFill="1" applyBorder="1"/>
    <xf numFmtId="37" fontId="28" fillId="0" borderId="1" xfId="4" applyNumberFormat="1" applyFont="1" applyFill="1" applyBorder="1" applyProtection="1"/>
    <xf numFmtId="3" fontId="28" fillId="0" borderId="0" xfId="1" applyNumberFormat="1" applyFont="1" applyFill="1"/>
    <xf numFmtId="164" fontId="28" fillId="0" borderId="12" xfId="5" applyFont="1" applyFill="1" applyBorder="1" applyProtection="1"/>
    <xf numFmtId="164" fontId="28" fillId="0" borderId="15" xfId="5" applyFont="1" applyFill="1" applyBorder="1" applyProtection="1"/>
    <xf numFmtId="174" fontId="28" fillId="0" borderId="4" xfId="4" applyNumberFormat="1" applyFont="1" applyFill="1" applyBorder="1"/>
    <xf numFmtId="164" fontId="88" fillId="0" borderId="6" xfId="4" applyFont="1" applyFill="1" applyBorder="1"/>
    <xf numFmtId="174" fontId="88" fillId="0" borderId="6" xfId="4" applyNumberFormat="1" applyFont="1" applyFill="1" applyBorder="1" applyProtection="1"/>
    <xf numFmtId="37" fontId="88" fillId="0" borderId="5" xfId="4" applyNumberFormat="1" applyFont="1" applyFill="1" applyBorder="1" applyProtection="1"/>
    <xf numFmtId="164" fontId="97" fillId="0" borderId="0" xfId="0" applyFont="1" applyAlignment="1">
      <alignment horizontal="center"/>
    </xf>
    <xf numFmtId="164" fontId="26" fillId="0" borderId="0" xfId="0" applyFont="1"/>
    <xf numFmtId="49" fontId="26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4" fontId="12" fillId="0" borderId="0" xfId="51497" applyFont="1"/>
    <xf numFmtId="164" fontId="12" fillId="0" borderId="0" xfId="51497" applyFont="1" applyAlignment="1" applyProtection="1">
      <alignment horizontal="left"/>
    </xf>
    <xf numFmtId="164" fontId="26" fillId="0" borderId="0" xfId="0" applyFont="1" applyFill="1" applyAlignment="1">
      <alignment horizontal="center"/>
    </xf>
    <xf numFmtId="164" fontId="26" fillId="0" borderId="0" xfId="0" applyFont="1" applyFill="1"/>
    <xf numFmtId="164" fontId="26" fillId="0" borderId="0" xfId="0" quotePrefix="1" applyFont="1" applyFill="1" applyAlignment="1" applyProtection="1">
      <alignment horizontal="center"/>
    </xf>
    <xf numFmtId="164" fontId="96" fillId="0" borderId="0" xfId="0" applyFont="1" applyFill="1" applyAlignment="1">
      <alignment horizontal="centerContinuous"/>
    </xf>
    <xf numFmtId="164" fontId="26" fillId="0" borderId="0" xfId="0" applyFont="1" applyFill="1" applyAlignment="1">
      <alignment horizontal="centerContinuous"/>
    </xf>
    <xf numFmtId="164" fontId="26" fillId="0" borderId="0" xfId="0" applyFont="1" applyAlignment="1">
      <alignment horizontal="right" readingOrder="1"/>
    </xf>
    <xf numFmtId="164" fontId="96" fillId="0" borderId="0" xfId="0" applyFont="1" applyFill="1" applyBorder="1" applyAlignment="1">
      <alignment vertical="center" wrapText="1"/>
    </xf>
    <xf numFmtId="164" fontId="96" fillId="0" borderId="0" xfId="0" applyFont="1" applyFill="1"/>
    <xf numFmtId="164" fontId="26" fillId="0" borderId="18" xfId="0" applyFont="1" applyFill="1" applyBorder="1"/>
    <xf numFmtId="164" fontId="26" fillId="0" borderId="19" xfId="0" applyFont="1" applyFill="1" applyBorder="1"/>
    <xf numFmtId="164" fontId="26" fillId="0" borderId="20" xfId="0" applyFont="1" applyFill="1" applyBorder="1"/>
    <xf numFmtId="164" fontId="2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 wrapText="1"/>
    </xf>
    <xf numFmtId="164" fontId="26" fillId="0" borderId="46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 wrapText="1"/>
    </xf>
    <xf numFmtId="164" fontId="26" fillId="0" borderId="0" xfId="0" applyFont="1" applyFill="1" applyBorder="1" applyAlignment="1">
      <alignment horizontal="center" wrapText="1"/>
    </xf>
    <xf numFmtId="164" fontId="26" fillId="0" borderId="0" xfId="0" quotePrefix="1" applyFont="1" applyFill="1" applyAlignment="1">
      <alignment horizontal="center" wrapText="1"/>
    </xf>
    <xf numFmtId="164" fontId="26" fillId="0" borderId="21" xfId="0" applyFont="1" applyFill="1" applyBorder="1" applyAlignment="1" applyProtection="1">
      <alignment horizontal="center" wrapText="1"/>
    </xf>
    <xf numFmtId="164" fontId="26" fillId="0" borderId="0" xfId="0" quotePrefix="1" applyFont="1" applyFill="1" applyBorder="1" applyAlignment="1" applyProtection="1">
      <alignment horizontal="center" wrapText="1"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Fill="1" applyBorder="1" applyAlignment="1" applyProtection="1">
      <alignment horizontal="center"/>
    </xf>
    <xf numFmtId="164" fontId="26" fillId="0" borderId="43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Continuous"/>
    </xf>
    <xf numFmtId="172" fontId="26" fillId="0" borderId="0" xfId="2" applyNumberFormat="1" applyFont="1" applyFill="1" applyBorder="1" applyAlignment="1" applyProtection="1">
      <alignment horizontal="center"/>
    </xf>
    <xf numFmtId="164" fontId="26" fillId="0" borderId="21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left"/>
    </xf>
    <xf numFmtId="172" fontId="26" fillId="0" borderId="0" xfId="0" applyNumberFormat="1" applyFont="1" applyFill="1" applyProtection="1"/>
    <xf numFmtId="172" fontId="26" fillId="0" borderId="0" xfId="2" applyNumberFormat="1" applyFont="1" applyFill="1" applyProtection="1"/>
    <xf numFmtId="44" fontId="26" fillId="0" borderId="0" xfId="2" applyNumberFormat="1" applyFont="1" applyFill="1" applyProtection="1"/>
    <xf numFmtId="173" fontId="26" fillId="0" borderId="21" xfId="2" applyNumberFormat="1" applyFont="1" applyFill="1" applyBorder="1"/>
    <xf numFmtId="173" fontId="26" fillId="0" borderId="0" xfId="2" applyNumberFormat="1" applyFont="1" applyFill="1" applyBorder="1"/>
    <xf numFmtId="164" fontId="26" fillId="0" borderId="0" xfId="0" applyFont="1" applyFill="1" applyAlignment="1" applyProtection="1">
      <alignment horizontal="left"/>
    </xf>
    <xf numFmtId="168" fontId="26" fillId="0" borderId="0" xfId="1" applyNumberFormat="1" applyFont="1" applyFill="1" applyProtection="1"/>
    <xf numFmtId="173" fontId="26" fillId="0" borderId="21" xfId="2" applyNumberFormat="1" applyFont="1" applyFill="1" applyBorder="1" applyProtection="1"/>
    <xf numFmtId="173" fontId="26" fillId="0" borderId="0" xfId="2" applyNumberFormat="1" applyFont="1" applyFill="1" applyBorder="1" applyProtection="1"/>
    <xf numFmtId="172" fontId="26" fillId="0" borderId="0" xfId="0" applyNumberFormat="1" applyFont="1" applyFill="1"/>
    <xf numFmtId="7" fontId="96" fillId="0" borderId="0" xfId="0" applyNumberFormat="1" applyFont="1" applyFill="1" applyAlignment="1" applyProtection="1">
      <alignment horizontal="right"/>
    </xf>
    <xf numFmtId="172" fontId="96" fillId="0" borderId="0" xfId="2" applyNumberFormat="1" applyFont="1" applyFill="1" applyProtection="1"/>
    <xf numFmtId="173" fontId="96" fillId="0" borderId="21" xfId="2" applyNumberFormat="1" applyFont="1" applyFill="1" applyBorder="1" applyProtection="1"/>
    <xf numFmtId="173" fontId="96" fillId="0" borderId="0" xfId="2" applyNumberFormat="1" applyFont="1" applyFill="1" applyBorder="1" applyProtection="1"/>
    <xf numFmtId="164" fontId="26" fillId="0" borderId="22" xfId="0" applyFont="1" applyFill="1" applyBorder="1"/>
    <xf numFmtId="164" fontId="26" fillId="0" borderId="23" xfId="0" applyFont="1" applyFill="1" applyBorder="1"/>
    <xf numFmtId="164" fontId="26" fillId="0" borderId="24" xfId="0" applyFont="1" applyFill="1" applyBorder="1"/>
    <xf numFmtId="164" fontId="26" fillId="0" borderId="0" xfId="0" applyFont="1" applyFill="1" applyBorder="1"/>
    <xf numFmtId="164" fontId="26" fillId="0" borderId="47" xfId="0" quotePrefix="1" applyFont="1" applyFill="1" applyBorder="1" applyAlignment="1" applyProtection="1">
      <alignment horizontal="center" wrapText="1"/>
    </xf>
    <xf numFmtId="164" fontId="26" fillId="0" borderId="48" xfId="0" applyFont="1" applyFill="1" applyBorder="1" applyAlignment="1" applyProtection="1">
      <alignment horizontal="center"/>
    </xf>
    <xf numFmtId="164" fontId="26" fillId="0" borderId="49" xfId="0" applyFont="1" applyFill="1" applyBorder="1" applyAlignment="1" applyProtection="1">
      <alignment horizontal="center"/>
    </xf>
    <xf numFmtId="173" fontId="26" fillId="0" borderId="49" xfId="2" applyNumberFormat="1" applyFont="1" applyFill="1" applyBorder="1"/>
    <xf numFmtId="173" fontId="96" fillId="0" borderId="49" xfId="2" applyNumberFormat="1" applyFont="1" applyFill="1" applyBorder="1" applyProtection="1"/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0" xfId="3" applyFont="1" applyFill="1" applyAlignment="1">
      <alignment horizontal="center"/>
    </xf>
    <xf numFmtId="0" fontId="26" fillId="0" borderId="0" xfId="3" applyFont="1" applyFill="1" applyAlignment="1">
      <alignment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0" xfId="3" applyFont="1" applyFill="1" applyAlignment="1">
      <alignment horizontal="center"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6" xfId="3" quotePrefix="1" applyFont="1" applyFill="1" applyBorder="1" applyAlignment="1" applyProtection="1">
      <alignment horizontal="center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96" fillId="0" borderId="3" xfId="3" applyFont="1" applyFill="1" applyBorder="1" applyAlignment="1" applyProtection="1">
      <alignment horizontal="left"/>
    </xf>
    <xf numFmtId="0" fontId="26" fillId="0" borderId="3" xfId="3" applyFont="1" applyFill="1" applyBorder="1"/>
    <xf numFmtId="0" fontId="26" fillId="0" borderId="8" xfId="3" applyFont="1" applyFill="1" applyBorder="1"/>
    <xf numFmtId="173" fontId="26" fillId="0" borderId="5" xfId="2" applyNumberFormat="1" applyFont="1" applyFill="1" applyBorder="1"/>
    <xf numFmtId="173" fontId="26" fillId="0" borderId="0" xfId="3" applyNumberFormat="1" applyFont="1" applyFill="1" applyBorder="1"/>
    <xf numFmtId="164" fontId="26" fillId="0" borderId="0" xfId="5" applyFont="1" applyFill="1" applyBorder="1" applyAlignment="1" applyProtection="1">
      <alignment horizontal="center"/>
    </xf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173" fontId="26" fillId="0" borderId="5" xfId="3" applyNumberFormat="1" applyFont="1" applyFill="1" applyBorder="1"/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6" xfId="3" applyFont="1" applyFill="1" applyBorder="1"/>
    <xf numFmtId="0" fontId="26" fillId="0" borderId="1" xfId="3" applyFont="1" applyFill="1" applyBorder="1"/>
    <xf numFmtId="0" fontId="26" fillId="0" borderId="0" xfId="3" applyFont="1" applyFill="1" applyBorder="1" applyAlignment="1" applyProtection="1">
      <alignment horizontal="left"/>
    </xf>
    <xf numFmtId="0" fontId="98" fillId="0" borderId="0" xfId="3" quotePrefix="1" applyFont="1" applyFill="1" applyAlignment="1">
      <alignment horizontal="left"/>
    </xf>
    <xf numFmtId="168" fontId="26" fillId="0" borderId="0" xfId="1" applyNumberFormat="1" applyFont="1" applyFill="1"/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Alignment="1">
      <alignment horizontal="left"/>
    </xf>
    <xf numFmtId="44" fontId="26" fillId="0" borderId="0" xfId="2" applyFont="1" applyFill="1"/>
    <xf numFmtId="164" fontId="26" fillId="0" borderId="0" xfId="18" applyFont="1" applyFill="1"/>
    <xf numFmtId="164" fontId="26" fillId="0" borderId="0" xfId="18" applyFont="1" applyFill="1" applyAlignment="1">
      <alignment horizontal="centerContinuous"/>
    </xf>
    <xf numFmtId="164" fontId="26" fillId="0" borderId="0" xfId="18" quotePrefix="1" applyFont="1" applyFill="1" applyAlignment="1">
      <alignment horizontal="centerContinuous"/>
    </xf>
    <xf numFmtId="164" fontId="26" fillId="0" borderId="4" xfId="18" applyFont="1" applyFill="1" applyBorder="1" applyAlignment="1">
      <alignment horizontal="center"/>
    </xf>
    <xf numFmtId="164" fontId="26" fillId="0" borderId="2" xfId="18" applyFont="1" applyFill="1" applyBorder="1"/>
    <xf numFmtId="164" fontId="26" fillId="0" borderId="16" xfId="18" applyFont="1" applyFill="1" applyBorder="1"/>
    <xf numFmtId="164" fontId="26" fillId="0" borderId="2" xfId="18" applyFont="1" applyFill="1" applyBorder="1" applyAlignment="1" applyProtection="1">
      <alignment horizontal="center"/>
    </xf>
    <xf numFmtId="164" fontId="26" fillId="0" borderId="4" xfId="18" applyFont="1" applyFill="1" applyBorder="1" applyAlignment="1" applyProtection="1">
      <alignment horizontal="center"/>
    </xf>
    <xf numFmtId="164" fontId="26" fillId="0" borderId="9" xfId="18" applyFont="1" applyFill="1" applyBorder="1"/>
    <xf numFmtId="164" fontId="26" fillId="0" borderId="4" xfId="18" applyFont="1" applyFill="1" applyBorder="1"/>
    <xf numFmtId="164" fontId="26" fillId="0" borderId="5" xfId="18" applyFont="1" applyFill="1" applyBorder="1" applyAlignment="1" applyProtection="1">
      <alignment horizontal="center"/>
    </xf>
    <xf numFmtId="164" fontId="26" fillId="0" borderId="0" xfId="18" applyFont="1" applyFill="1" applyBorder="1"/>
    <xf numFmtId="164" fontId="26" fillId="0" borderId="9" xfId="18" quotePrefix="1" applyFont="1" applyFill="1" applyBorder="1"/>
    <xf numFmtId="164" fontId="26" fillId="0" borderId="9" xfId="18" applyFont="1" applyFill="1" applyBorder="1" applyAlignment="1" applyProtection="1">
      <alignment horizontal="center"/>
    </xf>
    <xf numFmtId="164" fontId="26" fillId="0" borderId="0" xfId="18" applyFont="1" applyFill="1" applyBorder="1" applyAlignment="1" applyProtection="1">
      <alignment horizontal="center"/>
    </xf>
    <xf numFmtId="164" fontId="26" fillId="0" borderId="9" xfId="18" applyFont="1" applyFill="1" applyBorder="1" applyAlignment="1">
      <alignment horizontal="centerContinuous"/>
    </xf>
    <xf numFmtId="164" fontId="26" fillId="0" borderId="5" xfId="18" applyFont="1" applyFill="1" applyBorder="1" applyAlignment="1">
      <alignment horizontal="center"/>
    </xf>
    <xf numFmtId="164" fontId="26" fillId="0" borderId="0" xfId="18" applyFont="1" applyFill="1" applyBorder="1" applyAlignment="1" applyProtection="1">
      <alignment horizontal="centerContinuous"/>
    </xf>
    <xf numFmtId="164" fontId="26" fillId="0" borderId="6" xfId="18" applyFont="1" applyFill="1" applyBorder="1" applyAlignment="1" applyProtection="1">
      <alignment horizontal="center"/>
    </xf>
    <xf numFmtId="164" fontId="26" fillId="0" borderId="9" xfId="18" applyFont="1" applyFill="1" applyBorder="1" applyAlignment="1">
      <alignment horizontal="center"/>
    </xf>
    <xf numFmtId="164" fontId="26" fillId="0" borderId="6" xfId="18" applyFont="1" applyFill="1" applyBorder="1" applyAlignment="1">
      <alignment horizontal="center"/>
    </xf>
    <xf numFmtId="164" fontId="26" fillId="0" borderId="0" xfId="18" applyFont="1" applyFill="1" applyAlignment="1">
      <alignment horizontal="center"/>
    </xf>
    <xf numFmtId="164" fontId="26" fillId="0" borderId="7" xfId="18" applyFont="1" applyFill="1" applyBorder="1" applyAlignment="1">
      <alignment horizontal="center"/>
    </xf>
    <xf numFmtId="164" fontId="96" fillId="0" borderId="3" xfId="18" applyFont="1" applyFill="1" applyBorder="1" applyAlignment="1" applyProtection="1">
      <alignment horizontal="left"/>
    </xf>
    <xf numFmtId="164" fontId="26" fillId="0" borderId="3" xfId="18" applyFont="1" applyFill="1" applyBorder="1"/>
    <xf numFmtId="37" fontId="26" fillId="0" borderId="3" xfId="18" applyNumberFormat="1" applyFont="1" applyFill="1" applyBorder="1" applyProtection="1"/>
    <xf numFmtId="174" fontId="26" fillId="0" borderId="3" xfId="18" applyNumberFormat="1" applyFont="1" applyFill="1" applyBorder="1"/>
    <xf numFmtId="164" fontId="26" fillId="0" borderId="8" xfId="18" applyFont="1" applyFill="1" applyBorder="1"/>
    <xf numFmtId="164" fontId="26" fillId="0" borderId="0" xfId="18" applyFont="1" applyFill="1" applyBorder="1" applyAlignment="1" applyProtection="1">
      <alignment horizontal="left"/>
    </xf>
    <xf numFmtId="168" fontId="26" fillId="0" borderId="0" xfId="1" applyNumberFormat="1" applyFont="1" applyFill="1" applyBorder="1" applyProtection="1"/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72" fontId="26" fillId="0" borderId="9" xfId="2" applyNumberFormat="1" applyFont="1" applyFill="1" applyBorder="1" applyProtection="1"/>
    <xf numFmtId="10" fontId="26" fillId="0" borderId="9" xfId="12" applyNumberFormat="1" applyFont="1" applyFill="1" applyBorder="1" applyProtection="1"/>
    <xf numFmtId="10" fontId="26" fillId="0" borderId="4" xfId="18" applyNumberFormat="1" applyFont="1" applyFill="1" applyBorder="1"/>
    <xf numFmtId="164" fontId="26" fillId="0" borderId="0" xfId="18" applyFont="1" applyFill="1" applyAlignment="1" applyProtection="1">
      <alignment horizontal="left"/>
    </xf>
    <xf numFmtId="164" fontId="26" fillId="0" borderId="9" xfId="18" quotePrefix="1" applyFont="1" applyFill="1" applyBorder="1" applyAlignment="1">
      <alignment horizontal="left"/>
    </xf>
    <xf numFmtId="37" fontId="26" fillId="0" borderId="9" xfId="18" applyNumberFormat="1" applyFont="1" applyFill="1" applyBorder="1" applyProtection="1"/>
    <xf numFmtId="10" fontId="26" fillId="0" borderId="5" xfId="18" applyNumberFormat="1" applyFont="1" applyFill="1" applyBorder="1"/>
    <xf numFmtId="164" fontId="96" fillId="0" borderId="3" xfId="18" applyFont="1" applyFill="1" applyBorder="1"/>
    <xf numFmtId="164" fontId="96" fillId="0" borderId="8" xfId="18" applyFont="1" applyFill="1" applyBorder="1"/>
    <xf numFmtId="168" fontId="96" fillId="0" borderId="3" xfId="1" applyNumberFormat="1" applyFont="1" applyFill="1" applyBorder="1" applyProtection="1"/>
    <xf numFmtId="168" fontId="96" fillId="0" borderId="10" xfId="1" applyNumberFormat="1" applyFont="1" applyFill="1" applyBorder="1" applyProtection="1"/>
    <xf numFmtId="37" fontId="96" fillId="0" borderId="9" xfId="18" applyNumberFormat="1" applyFont="1" applyFill="1" applyBorder="1" applyProtection="1"/>
    <xf numFmtId="173" fontId="96" fillId="0" borderId="10" xfId="2" applyNumberFormat="1" applyFont="1" applyFill="1" applyBorder="1" applyProtection="1"/>
    <xf numFmtId="172" fontId="96" fillId="0" borderId="10" xfId="2" applyNumberFormat="1" applyFont="1" applyFill="1" applyBorder="1" applyProtection="1"/>
    <xf numFmtId="10" fontId="96" fillId="0" borderId="8" xfId="12" applyNumberFormat="1" applyFont="1" applyFill="1" applyBorder="1" applyProtection="1"/>
    <xf numFmtId="10" fontId="26" fillId="0" borderId="10" xfId="18" applyNumberFormat="1" applyFont="1" applyFill="1" applyBorder="1"/>
    <xf numFmtId="164" fontId="96" fillId="0" borderId="0" xfId="18" applyFont="1" applyFill="1"/>
    <xf numFmtId="164" fontId="26" fillId="0" borderId="1" xfId="18" applyFont="1" applyFill="1" applyBorder="1" applyAlignment="1">
      <alignment horizontal="center"/>
    </xf>
    <xf numFmtId="164" fontId="96" fillId="0" borderId="1" xfId="18" applyFont="1" applyFill="1" applyBorder="1" applyAlignment="1" applyProtection="1">
      <alignment horizontal="left"/>
    </xf>
    <xf numFmtId="164" fontId="26" fillId="0" borderId="1" xfId="18" applyFont="1" applyFill="1" applyBorder="1"/>
    <xf numFmtId="168" fontId="26" fillId="0" borderId="1" xfId="1" applyNumberFormat="1" applyFont="1" applyFill="1" applyBorder="1" applyProtection="1"/>
    <xf numFmtId="37" fontId="26" fillId="0" borderId="0" xfId="18" applyNumberFormat="1" applyFont="1" applyFill="1" applyBorder="1" applyProtection="1"/>
    <xf numFmtId="168" fontId="26" fillId="0" borderId="1" xfId="1" applyNumberFormat="1" applyFont="1" applyFill="1" applyBorder="1"/>
    <xf numFmtId="173" fontId="26" fillId="0" borderId="1" xfId="2" applyNumberFormat="1" applyFont="1" applyFill="1" applyBorder="1" applyProtection="1"/>
    <xf numFmtId="172" fontId="26" fillId="0" borderId="1" xfId="2" applyNumberFormat="1" applyFont="1" applyFill="1" applyBorder="1" applyProtection="1"/>
    <xf numFmtId="10" fontId="26" fillId="0" borderId="1" xfId="12" applyNumberFormat="1" applyFont="1" applyFill="1" applyBorder="1" applyProtection="1"/>
    <xf numFmtId="10" fontId="26" fillId="0" borderId="0" xfId="18" applyNumberFormat="1" applyFont="1" applyFill="1"/>
    <xf numFmtId="164" fontId="26" fillId="0" borderId="12" xfId="18" applyFont="1" applyFill="1" applyBorder="1" applyAlignment="1" applyProtection="1">
      <alignment horizontal="center"/>
    </xf>
    <xf numFmtId="164" fontId="26" fillId="0" borderId="11" xfId="18" applyFont="1" applyFill="1" applyBorder="1" applyAlignment="1" applyProtection="1">
      <alignment horizontal="left"/>
    </xf>
    <xf numFmtId="168" fontId="26" fillId="0" borderId="4" xfId="1" applyNumberFormat="1" applyFont="1" applyFill="1" applyBorder="1"/>
    <xf numFmtId="173" fontId="26" fillId="0" borderId="4" xfId="2" applyNumberFormat="1" applyFont="1" applyFill="1" applyBorder="1"/>
    <xf numFmtId="172" fontId="26" fillId="0" borderId="4" xfId="2" applyNumberFormat="1" applyFont="1" applyFill="1" applyBorder="1"/>
    <xf numFmtId="10" fontId="26" fillId="0" borderId="0" xfId="12" applyNumberFormat="1" applyFont="1" applyFill="1" applyBorder="1" applyProtection="1"/>
    <xf numFmtId="164" fontId="26" fillId="0" borderId="12" xfId="18" applyFont="1" applyFill="1" applyBorder="1" applyAlignment="1" applyProtection="1">
      <alignment horizontal="left"/>
    </xf>
    <xf numFmtId="173" fontId="26" fillId="0" borderId="5" xfId="2" applyNumberFormat="1" applyFont="1" applyFill="1" applyBorder="1" applyProtection="1"/>
    <xf numFmtId="172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164" fontId="26" fillId="0" borderId="5" xfId="18" applyFont="1" applyFill="1" applyBorder="1"/>
    <xf numFmtId="164" fontId="26" fillId="0" borderId="10" xfId="18" applyFont="1" applyFill="1" applyBorder="1" applyAlignment="1">
      <alignment horizontal="center"/>
    </xf>
    <xf numFmtId="164" fontId="96" fillId="0" borderId="7" xfId="18" applyFont="1" applyFill="1" applyBorder="1" applyAlignment="1" applyProtection="1">
      <alignment horizontal="left"/>
    </xf>
    <xf numFmtId="168" fontId="26" fillId="0" borderId="10" xfId="1" applyNumberFormat="1" applyFont="1" applyFill="1" applyBorder="1"/>
    <xf numFmtId="164" fontId="96" fillId="0" borderId="0" xfId="18" applyFont="1" applyFill="1" applyBorder="1"/>
    <xf numFmtId="173" fontId="96" fillId="0" borderId="10" xfId="2" applyNumberFormat="1" applyFont="1" applyFill="1" applyBorder="1"/>
    <xf numFmtId="172" fontId="96" fillId="0" borderId="10" xfId="2" applyNumberFormat="1" applyFont="1" applyFill="1" applyBorder="1"/>
    <xf numFmtId="10" fontId="96" fillId="0" borderId="0" xfId="12" applyNumberFormat="1" applyFont="1" applyFill="1"/>
    <xf numFmtId="164" fontId="96" fillId="0" borderId="6" xfId="18" applyFont="1" applyFill="1" applyBorder="1"/>
    <xf numFmtId="164" fontId="26" fillId="0" borderId="0" xfId="18" applyFont="1" applyFill="1" applyBorder="1" applyAlignment="1">
      <alignment horizontal="center"/>
    </xf>
    <xf numFmtId="164" fontId="96" fillId="0" borderId="0" xfId="18" applyFont="1" applyFill="1" applyBorder="1" applyAlignment="1" applyProtection="1">
      <alignment horizontal="left"/>
    </xf>
    <xf numFmtId="168" fontId="96" fillId="0" borderId="3" xfId="1" applyNumberFormat="1" applyFont="1" applyFill="1" applyBorder="1"/>
    <xf numFmtId="168" fontId="96" fillId="0" borderId="0" xfId="1" applyNumberFormat="1" applyFont="1" applyFill="1" applyBorder="1"/>
    <xf numFmtId="173" fontId="96" fillId="0" borderId="0" xfId="2" applyNumberFormat="1" applyFont="1" applyFill="1" applyBorder="1"/>
    <xf numFmtId="172" fontId="96" fillId="0" borderId="0" xfId="2" applyNumberFormat="1" applyFont="1" applyFill="1" applyBorder="1"/>
    <xf numFmtId="10" fontId="96" fillId="0" borderId="0" xfId="12" applyNumberFormat="1" applyFont="1" applyFill="1" applyBorder="1"/>
    <xf numFmtId="168" fontId="96" fillId="0" borderId="10" xfId="1" applyNumberFormat="1" applyFont="1" applyFill="1" applyBorder="1"/>
    <xf numFmtId="174" fontId="26" fillId="0" borderId="0" xfId="18" applyNumberFormat="1" applyFont="1" applyFill="1"/>
    <xf numFmtId="164" fontId="26" fillId="0" borderId="0" xfId="4" applyFont="1" applyFill="1"/>
    <xf numFmtId="164" fontId="26" fillId="0" borderId="0" xfId="4" applyFont="1" applyFill="1" applyAlignment="1">
      <alignment horizontal="center"/>
    </xf>
    <xf numFmtId="164" fontId="26" fillId="0" borderId="0" xfId="4" applyFont="1" applyFill="1" applyAlignment="1" applyProtection="1">
      <alignment horizontal="center"/>
    </xf>
    <xf numFmtId="164" fontId="26" fillId="0" borderId="0" xfId="4" applyFont="1" applyFill="1" applyAlignment="1" applyProtection="1">
      <alignment horizontal="centerContinuous"/>
    </xf>
    <xf numFmtId="164" fontId="26" fillId="0" borderId="1" xfId="4" applyFont="1" applyFill="1" applyBorder="1" applyAlignment="1">
      <alignment horizontal="center"/>
    </xf>
    <xf numFmtId="164" fontId="26" fillId="0" borderId="1" xfId="4" applyFont="1" applyFill="1" applyBorder="1" applyAlignment="1" applyProtection="1">
      <alignment horizontal="center"/>
    </xf>
    <xf numFmtId="164" fontId="26" fillId="0" borderId="0" xfId="4" applyFont="1" applyFill="1" applyAlignment="1" applyProtection="1">
      <alignment horizontal="left"/>
    </xf>
    <xf numFmtId="173" fontId="26" fillId="0" borderId="0" xfId="2" applyNumberFormat="1" applyFont="1" applyFill="1" applyProtection="1"/>
    <xf numFmtId="37" fontId="26" fillId="0" borderId="0" xfId="4" applyNumberFormat="1" applyFont="1" applyFill="1" applyProtection="1"/>
    <xf numFmtId="10" fontId="26" fillId="0" borderId="0" xfId="12" applyNumberFormat="1" applyFont="1" applyFill="1" applyProtection="1"/>
    <xf numFmtId="173" fontId="26" fillId="0" borderId="0" xfId="2" applyNumberFormat="1" applyFont="1" applyFill="1"/>
    <xf numFmtId="165" fontId="26" fillId="0" borderId="0" xfId="2" applyNumberFormat="1" applyFont="1" applyFill="1" applyAlignment="1" applyProtection="1">
      <alignment horizontal="center"/>
    </xf>
    <xf numFmtId="165" fontId="26" fillId="0" borderId="0" xfId="2" applyNumberFormat="1" applyFont="1" applyFill="1" applyAlignment="1">
      <alignment horizontal="center"/>
    </xf>
    <xf numFmtId="175" fontId="26" fillId="0" borderId="0" xfId="4" applyNumberFormat="1" applyFont="1" applyFill="1" applyProtection="1"/>
    <xf numFmtId="44" fontId="26" fillId="0" borderId="0" xfId="2" applyFont="1" applyFill="1" applyProtection="1"/>
    <xf numFmtId="10" fontId="26" fillId="0" borderId="0" xfId="4" applyNumberFormat="1" applyFont="1" applyFill="1" applyProtection="1"/>
    <xf numFmtId="5" fontId="26" fillId="0" borderId="0" xfId="4" applyNumberFormat="1" applyFont="1" applyFill="1" applyProtection="1"/>
    <xf numFmtId="165" fontId="26" fillId="0" borderId="0" xfId="4" applyNumberFormat="1" applyFont="1" applyFill="1" applyProtection="1"/>
    <xf numFmtId="37" fontId="26" fillId="0" borderId="0" xfId="4" applyNumberFormat="1" applyFont="1" applyFill="1" applyAlignment="1" applyProtection="1">
      <alignment horizontal="right"/>
    </xf>
    <xf numFmtId="164" fontId="96" fillId="0" borderId="0" xfId="4" applyFont="1" applyFill="1" applyAlignment="1" applyProtection="1"/>
    <xf numFmtId="164" fontId="88" fillId="0" borderId="0" xfId="4" applyFont="1" applyFill="1" applyAlignment="1" applyProtection="1">
      <alignment horizontal="center"/>
    </xf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7" fontId="28" fillId="44" borderId="10" xfId="13" applyNumberFormat="1" applyFont="1" applyFill="1" applyBorder="1"/>
    <xf numFmtId="3" fontId="95" fillId="44" borderId="10" xfId="0" applyNumberFormat="1" applyFont="1" applyFill="1" applyBorder="1"/>
    <xf numFmtId="17" fontId="28" fillId="44" borderId="10" xfId="0" applyNumberFormat="1" applyFont="1" applyFill="1" applyBorder="1"/>
    <xf numFmtId="17" fontId="28" fillId="44" borderId="0" xfId="0" applyNumberFormat="1" applyFont="1" applyFill="1" applyBorder="1"/>
    <xf numFmtId="168" fontId="90" fillId="44" borderId="0" xfId="13" applyNumberFormat="1" applyFont="1" applyFill="1" applyBorder="1" applyAlignment="1"/>
    <xf numFmtId="168" fontId="90" fillId="44" borderId="0" xfId="13" applyNumberFormat="1" applyFont="1" applyFill="1" applyBorder="1"/>
    <xf numFmtId="3" fontId="95" fillId="44" borderId="0" xfId="0" applyNumberFormat="1" applyFont="1" applyFill="1" applyBorder="1"/>
    <xf numFmtId="168" fontId="28" fillId="44" borderId="8" xfId="13" applyNumberFormat="1" applyFont="1" applyFill="1" applyBorder="1"/>
    <xf numFmtId="164" fontId="99" fillId="0" borderId="0" xfId="0" applyFont="1" applyAlignment="1">
      <alignment horizontal="center"/>
    </xf>
    <xf numFmtId="3" fontId="88" fillId="0" borderId="0" xfId="1" applyNumberFormat="1" applyFont="1" applyFill="1" applyAlignment="1">
      <alignment horizontal="center"/>
    </xf>
    <xf numFmtId="164" fontId="12" fillId="0" borderId="0" xfId="51497" applyFont="1" applyFill="1"/>
    <xf numFmtId="164" fontId="12" fillId="0" borderId="0" xfId="51497" applyFont="1" applyFill="1" applyAlignment="1" applyProtection="1">
      <alignment horizontal="left"/>
    </xf>
    <xf numFmtId="37" fontId="28" fillId="0" borderId="9" xfId="0" applyNumberFormat="1" applyFont="1" applyFill="1" applyBorder="1" applyProtection="1"/>
    <xf numFmtId="1" fontId="28" fillId="0" borderId="5" xfId="1" applyNumberFormat="1" applyFont="1" applyFill="1" applyBorder="1"/>
    <xf numFmtId="37" fontId="28" fillId="0" borderId="13" xfId="0" applyNumberFormat="1" applyFont="1" applyFill="1" applyBorder="1" applyProtection="1"/>
    <xf numFmtId="37" fontId="28" fillId="0" borderId="6" xfId="4" applyNumberFormat="1" applyFont="1" applyFill="1" applyBorder="1" applyProtection="1"/>
    <xf numFmtId="37" fontId="88" fillId="0" borderId="3" xfId="4" applyNumberFormat="1" applyFont="1" applyFill="1" applyBorder="1" applyProtection="1"/>
    <xf numFmtId="37" fontId="88" fillId="0" borderId="10" xfId="4" applyNumberFormat="1" applyFont="1" applyFill="1" applyBorder="1"/>
    <xf numFmtId="37" fontId="28" fillId="0" borderId="15" xfId="4" applyNumberFormat="1" applyFont="1" applyFill="1" applyBorder="1" applyProtection="1"/>
    <xf numFmtId="37" fontId="88" fillId="0" borderId="1" xfId="4" applyNumberFormat="1" applyFont="1" applyFill="1" applyBorder="1" applyProtection="1"/>
    <xf numFmtId="37" fontId="88" fillId="0" borderId="6" xfId="4" applyNumberFormat="1" applyFont="1" applyFill="1" applyBorder="1" applyProtection="1"/>
    <xf numFmtId="37" fontId="88" fillId="0" borderId="6" xfId="4" applyNumberFormat="1" applyFont="1" applyFill="1" applyBorder="1"/>
    <xf numFmtId="164" fontId="100" fillId="0" borderId="0" xfId="0" applyFont="1"/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7" fontId="3" fillId="44" borderId="10" xfId="0" applyNumberFormat="1" applyFont="1" applyFill="1" applyBorder="1"/>
    <xf numFmtId="3" fontId="3" fillId="44" borderId="5" xfId="0" applyNumberFormat="1" applyFont="1" applyFill="1" applyBorder="1"/>
    <xf numFmtId="37" fontId="3" fillId="44" borderId="5" xfId="0" applyNumberFormat="1" applyFont="1" applyFill="1" applyBorder="1"/>
    <xf numFmtId="168" fontId="3" fillId="44" borderId="10" xfId="1" applyNumberFormat="1" applyFont="1" applyFill="1" applyBorder="1"/>
    <xf numFmtId="37" fontId="1" fillId="44" borderId="6" xfId="0" applyNumberFormat="1" applyFont="1" applyFill="1" applyBorder="1"/>
    <xf numFmtId="168" fontId="1" fillId="44" borderId="6" xfId="1" applyNumberFormat="1" applyFont="1" applyFill="1" applyBorder="1"/>
    <xf numFmtId="37" fontId="96" fillId="0" borderId="0" xfId="18" applyNumberFormat="1" applyFont="1" applyFill="1" applyBorder="1" applyProtection="1"/>
    <xf numFmtId="174" fontId="26" fillId="0" borderId="4" xfId="18" applyNumberFormat="1" applyFont="1" applyFill="1" applyBorder="1" applyAlignment="1">
      <alignment horizontal="centerContinuous"/>
    </xf>
    <xf numFmtId="174" fontId="26" fillId="0" borderId="5" xfId="18" applyNumberFormat="1" applyFont="1" applyFill="1" applyBorder="1" applyAlignment="1">
      <alignment horizontal="centerContinuous"/>
    </xf>
    <xf numFmtId="174" fontId="26" fillId="0" borderId="6" xfId="18" applyNumberFormat="1" applyFont="1" applyFill="1" applyBorder="1" applyAlignment="1" applyProtection="1">
      <alignment horizontal="center"/>
    </xf>
    <xf numFmtId="173" fontId="26" fillId="0" borderId="4" xfId="2" applyNumberFormat="1" applyFont="1" applyFill="1" applyBorder="1" applyProtection="1"/>
    <xf numFmtId="173" fontId="26" fillId="0" borderId="6" xfId="2" applyNumberFormat="1" applyFont="1" applyFill="1" applyBorder="1" applyProtection="1"/>
    <xf numFmtId="164" fontId="28" fillId="0" borderId="0" xfId="0" applyFont="1" applyFill="1" applyAlignment="1">
      <alignment horizontal="center"/>
    </xf>
    <xf numFmtId="17" fontId="28" fillId="0" borderId="0" xfId="0" applyNumberFormat="1" applyFont="1" applyFill="1" applyBorder="1"/>
    <xf numFmtId="37" fontId="28" fillId="0" borderId="5" xfId="4" applyNumberFormat="1" applyFont="1" applyFill="1" applyBorder="1" applyAlignment="1">
      <alignment horizontal="center"/>
    </xf>
    <xf numFmtId="174" fontId="28" fillId="0" borderId="5" xfId="1" applyNumberFormat="1" applyFont="1" applyFill="1" applyBorder="1" applyAlignment="1" applyProtection="1">
      <alignment horizontal="center"/>
    </xf>
    <xf numFmtId="37" fontId="28" fillId="0" borderId="9" xfId="4" applyNumberFormat="1" applyFont="1" applyFill="1" applyBorder="1" applyAlignment="1" applyProtection="1">
      <alignment horizontal="center"/>
    </xf>
    <xf numFmtId="10" fontId="28" fillId="0" borderId="5" xfId="1" applyNumberFormat="1" applyFont="1" applyFill="1" applyBorder="1" applyAlignment="1" applyProtection="1">
      <alignment horizontal="center"/>
    </xf>
    <xf numFmtId="37" fontId="28" fillId="0" borderId="0" xfId="4" applyNumberFormat="1" applyFont="1" applyFill="1" applyBorder="1" applyAlignment="1" applyProtection="1">
      <alignment horizontal="center"/>
    </xf>
    <xf numFmtId="202" fontId="28" fillId="0" borderId="5" xfId="4" applyNumberFormat="1" applyFont="1" applyFill="1" applyBorder="1" applyAlignment="1">
      <alignment horizontal="center"/>
    </xf>
    <xf numFmtId="17" fontId="88" fillId="0" borderId="0" xfId="0" quotePrefix="1" applyNumberFormat="1" applyFont="1" applyFill="1" applyAlignment="1" applyProtection="1">
      <alignment horizontal="center"/>
    </xf>
    <xf numFmtId="171" fontId="88" fillId="0" borderId="0" xfId="0" applyNumberFormat="1" applyFont="1" applyFill="1" applyAlignment="1" applyProtection="1">
      <alignment horizontal="center"/>
    </xf>
    <xf numFmtId="14" fontId="88" fillId="0" borderId="1" xfId="0" applyNumberFormat="1" applyFont="1" applyFill="1" applyBorder="1" applyAlignment="1">
      <alignment horizontal="center"/>
    </xf>
    <xf numFmtId="169" fontId="91" fillId="0" borderId="0" xfId="0" applyNumberFormat="1" applyFont="1" applyFill="1" applyProtection="1"/>
    <xf numFmtId="14" fontId="91" fillId="0" borderId="0" xfId="0" applyNumberFormat="1" applyFont="1" applyFill="1" applyAlignment="1">
      <alignment horizontal="centerContinuous"/>
    </xf>
    <xf numFmtId="14" fontId="88" fillId="0" borderId="0" xfId="0" applyNumberFormat="1" applyFont="1" applyFill="1" applyAlignment="1" applyProtection="1">
      <alignment horizontal="center"/>
    </xf>
    <xf numFmtId="164" fontId="88" fillId="0" borderId="0" xfId="0" applyFont="1" applyFill="1" applyAlignment="1">
      <alignment horizontal="centerContinuous"/>
    </xf>
    <xf numFmtId="17" fontId="28" fillId="0" borderId="1" xfId="0" applyNumberFormat="1" applyFont="1" applyFill="1" applyBorder="1" applyAlignment="1">
      <alignment horizontal="center"/>
    </xf>
    <xf numFmtId="164" fontId="26" fillId="0" borderId="0" xfId="4" quotePrefix="1" applyFont="1" applyFill="1" applyAlignment="1" applyProtection="1">
      <alignment horizontal="center"/>
    </xf>
    <xf numFmtId="169" fontId="96" fillId="0" borderId="10" xfId="18" applyNumberFormat="1" applyFont="1" applyFill="1" applyBorder="1"/>
    <xf numFmtId="169" fontId="26" fillId="0" borderId="5" xfId="18" applyNumberFormat="1" applyFont="1" applyFill="1" applyBorder="1"/>
    <xf numFmtId="206" fontId="26" fillId="0" borderId="0" xfId="2" applyNumberFormat="1" applyFont="1" applyFill="1" applyProtection="1"/>
    <xf numFmtId="164" fontId="96" fillId="0" borderId="0" xfId="51497" applyFont="1" applyAlignment="1">
      <alignment horizontal="center"/>
    </xf>
    <xf numFmtId="164" fontId="96" fillId="0" borderId="0" xfId="0" applyFont="1" applyAlignment="1">
      <alignment horizontal="center"/>
    </xf>
    <xf numFmtId="164" fontId="26" fillId="0" borderId="45" xfId="0" applyFont="1" applyFill="1" applyBorder="1" applyAlignment="1">
      <alignment horizontal="center"/>
    </xf>
    <xf numFmtId="164" fontId="26" fillId="0" borderId="8" xfId="0" applyFont="1" applyFill="1" applyBorder="1" applyAlignment="1">
      <alignment horizontal="center"/>
    </xf>
    <xf numFmtId="164" fontId="96" fillId="0" borderId="43" xfId="0" quotePrefix="1" applyFont="1" applyFill="1" applyBorder="1" applyAlignment="1" applyProtection="1">
      <alignment horizontal="center"/>
    </xf>
    <xf numFmtId="164" fontId="96" fillId="0" borderId="1" xfId="0" applyFont="1" applyFill="1" applyBorder="1" applyAlignment="1" applyProtection="1">
      <alignment horizontal="center"/>
    </xf>
    <xf numFmtId="164" fontId="96" fillId="0" borderId="44" xfId="0" applyFont="1" applyFill="1" applyBorder="1" applyAlignment="1" applyProtection="1">
      <alignment horizontal="center"/>
    </xf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96" fillId="0" borderId="0" xfId="0" applyFont="1" applyFill="1" applyBorder="1" applyAlignment="1">
      <alignment horizontal="center" vertical="center" wrapText="1"/>
    </xf>
    <xf numFmtId="164" fontId="96" fillId="0" borderId="0" xfId="4" applyFont="1" applyFill="1" applyAlignment="1" applyProtection="1">
      <alignment horizontal="center"/>
    </xf>
    <xf numFmtId="164" fontId="96" fillId="0" borderId="0" xfId="18" applyFont="1" applyFill="1" applyAlignment="1" applyProtection="1">
      <alignment horizontal="center"/>
    </xf>
    <xf numFmtId="164" fontId="96" fillId="0" borderId="0" xfId="18" quotePrefix="1" applyFont="1" applyFill="1" applyAlignment="1" applyProtection="1">
      <alignment horizontal="center"/>
    </xf>
    <xf numFmtId="164" fontId="26" fillId="0" borderId="15" xfId="18" applyFont="1" applyFill="1" applyBorder="1" applyAlignment="1" applyProtection="1">
      <alignment horizontal="center"/>
    </xf>
    <xf numFmtId="164" fontId="26" fillId="0" borderId="13" xfId="18" applyFont="1" applyFill="1" applyBorder="1" applyAlignment="1" applyProtection="1">
      <alignment horizontal="center"/>
    </xf>
    <xf numFmtId="164" fontId="96" fillId="0" borderId="0" xfId="4" quotePrefix="1" applyFont="1" applyFill="1" applyAlignment="1" applyProtection="1">
      <alignment horizontal="center"/>
    </xf>
    <xf numFmtId="164" fontId="26" fillId="0" borderId="0" xfId="4" applyFont="1" applyFill="1" applyAlignment="1" applyProtection="1">
      <alignment horizontal="left" vertical="top" wrapText="1"/>
    </xf>
    <xf numFmtId="164" fontId="88" fillId="0" borderId="0" xfId="4" applyFont="1" applyFill="1" applyAlignment="1" applyProtection="1">
      <alignment horizontal="center"/>
    </xf>
    <xf numFmtId="164" fontId="88" fillId="0" borderId="0" xfId="18" applyFont="1" applyFill="1" applyAlignment="1" applyProtection="1">
      <alignment horizontal="center"/>
    </xf>
    <xf numFmtId="164" fontId="88" fillId="45" borderId="0" xfId="18" quotePrefix="1" applyFont="1" applyFill="1" applyAlignment="1" applyProtection="1">
      <alignment horizontal="center"/>
    </xf>
    <xf numFmtId="164" fontId="88" fillId="45" borderId="0" xfId="18" applyFont="1" applyFill="1" applyAlignment="1" applyProtection="1">
      <alignment horizontal="center"/>
    </xf>
    <xf numFmtId="164" fontId="28" fillId="0" borderId="15" xfId="18" applyFont="1" applyFill="1" applyBorder="1" applyAlignment="1" applyProtection="1">
      <alignment horizontal="center"/>
    </xf>
    <xf numFmtId="164" fontId="28" fillId="0" borderId="13" xfId="18" applyFont="1" applyFill="1" applyBorder="1" applyAlignment="1" applyProtection="1">
      <alignment horizontal="center"/>
    </xf>
    <xf numFmtId="164" fontId="88" fillId="45" borderId="0" xfId="4" applyFont="1" applyFill="1" applyAlignment="1" applyProtection="1">
      <alignment horizontal="center"/>
    </xf>
    <xf numFmtId="164" fontId="92" fillId="0" borderId="0" xfId="4" quotePrefix="1" applyFont="1" applyFill="1" applyBorder="1" applyAlignment="1" applyProtection="1">
      <alignment horizontal="justify" wrapText="1"/>
    </xf>
    <xf numFmtId="164" fontId="88" fillId="45" borderId="0" xfId="4" quotePrefix="1" applyFont="1" applyFill="1" applyAlignment="1" applyProtection="1">
      <alignment horizontal="center"/>
    </xf>
    <xf numFmtId="164" fontId="92" fillId="0" borderId="0" xfId="4" applyFont="1" applyFill="1" applyAlignment="1">
      <alignment horizontal="justify" wrapText="1"/>
    </xf>
    <xf numFmtId="164" fontId="28" fillId="0" borderId="0" xfId="0" quotePrefix="1" applyFont="1" applyFill="1" applyAlignment="1">
      <alignment horizontal="left"/>
    </xf>
    <xf numFmtId="164" fontId="88" fillId="0" borderId="0" xfId="4" quotePrefix="1" applyFont="1" applyFill="1" applyAlignment="1" applyProtection="1">
      <alignment horizontal="center"/>
    </xf>
    <xf numFmtId="164" fontId="88" fillId="0" borderId="0" xfId="4" applyFont="1" applyFill="1" applyAlignment="1" applyProtection="1">
      <alignment horizontal="right"/>
    </xf>
    <xf numFmtId="164" fontId="88" fillId="0" borderId="0" xfId="0" quotePrefix="1" applyFont="1" applyFill="1" applyAlignment="1">
      <alignment horizontal="left"/>
    </xf>
    <xf numFmtId="164" fontId="88" fillId="0" borderId="0" xfId="0" applyFont="1" applyFill="1" applyAlignment="1">
      <alignment horizontal="left"/>
    </xf>
    <xf numFmtId="164" fontId="88" fillId="0" borderId="0" xfId="0" quotePrefix="1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88" fillId="0" borderId="0" xfId="0" applyFont="1" applyFill="1" applyBorder="1" applyAlignment="1" applyProtection="1">
      <alignment horizontal="center"/>
    </xf>
    <xf numFmtId="164" fontId="28" fillId="0" borderId="0" xfId="4" applyFont="1" applyFill="1" applyAlignment="1"/>
  </cellXfs>
  <cellStyles count="51498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_Book2" xfId="3" xr:uid="{00000000-0005-0000-0000-000003A20000}"/>
    <cellStyle name="Normal_CNGC Deferral Workpapers" xfId="4" xr:uid="{00000000-0005-0000-0000-000004A20000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n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>
        <row r="13">
          <cell r="E13">
            <v>175146</v>
          </cell>
          <cell r="F13">
            <v>118476427</v>
          </cell>
        </row>
        <row r="14">
          <cell r="E14">
            <v>24894</v>
          </cell>
          <cell r="F14">
            <v>80983340</v>
          </cell>
        </row>
        <row r="23">
          <cell r="F23">
            <v>0</v>
          </cell>
          <cell r="H23">
            <v>0</v>
          </cell>
          <cell r="K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  <cell r="I12">
            <v>413742</v>
          </cell>
        </row>
        <row r="13">
          <cell r="G13">
            <v>117639356</v>
          </cell>
          <cell r="I13">
            <v>120380443</v>
          </cell>
        </row>
        <row r="15">
          <cell r="G15">
            <v>555</v>
          </cell>
          <cell r="I15">
            <v>583</v>
          </cell>
        </row>
        <row r="16">
          <cell r="G16">
            <v>1142909</v>
          </cell>
          <cell r="I16">
            <v>1046493</v>
          </cell>
        </row>
        <row r="17">
          <cell r="G17">
            <v>-305838</v>
          </cell>
          <cell r="I17">
            <v>-229886</v>
          </cell>
        </row>
        <row r="20">
          <cell r="G20">
            <v>4066</v>
          </cell>
          <cell r="I20">
            <v>3259</v>
          </cell>
        </row>
        <row r="21">
          <cell r="G21">
            <v>80152287</v>
          </cell>
          <cell r="I21">
            <v>76854961</v>
          </cell>
        </row>
        <row r="22">
          <cell r="G22">
            <v>7762896</v>
          </cell>
          <cell r="I22">
            <v>6146328</v>
          </cell>
        </row>
        <row r="23">
          <cell r="G23">
            <v>46067</v>
          </cell>
          <cell r="I23">
            <v>40035</v>
          </cell>
        </row>
        <row r="24">
          <cell r="G24">
            <v>0</v>
          </cell>
          <cell r="I24">
            <v>0</v>
          </cell>
        </row>
        <row r="25">
          <cell r="G25">
            <v>1137970</v>
          </cell>
          <cell r="I25">
            <v>991564</v>
          </cell>
        </row>
        <row r="26">
          <cell r="G26">
            <v>-306917</v>
          </cell>
          <cell r="I26">
            <v>-217716</v>
          </cell>
        </row>
        <row r="27">
          <cell r="G27">
            <v>0</v>
          </cell>
        </row>
        <row r="31">
          <cell r="G31">
            <v>13450676</v>
          </cell>
          <cell r="I31">
            <v>10594609</v>
          </cell>
        </row>
        <row r="32">
          <cell r="G32">
            <v>845993</v>
          </cell>
          <cell r="I32">
            <v>649627</v>
          </cell>
        </row>
        <row r="35">
          <cell r="G35">
            <v>-505</v>
          </cell>
          <cell r="I35">
            <v>-367</v>
          </cell>
        </row>
        <row r="38">
          <cell r="G38">
            <v>4248121</v>
          </cell>
          <cell r="I38">
            <v>2840180</v>
          </cell>
        </row>
        <row r="39">
          <cell r="G39">
            <v>411919</v>
          </cell>
          <cell r="I39">
            <v>303781</v>
          </cell>
        </row>
        <row r="47">
          <cell r="G47">
            <v>0</v>
          </cell>
          <cell r="I47">
            <v>0</v>
          </cell>
        </row>
        <row r="49">
          <cell r="G49">
            <v>448282732</v>
          </cell>
          <cell r="I49">
            <v>14405303</v>
          </cell>
        </row>
        <row r="50">
          <cell r="G50">
            <v>307148738</v>
          </cell>
          <cell r="I50">
            <v>5894906</v>
          </cell>
        </row>
        <row r="69">
          <cell r="F69">
            <v>579</v>
          </cell>
        </row>
        <row r="70">
          <cell r="F70">
            <v>175146</v>
          </cell>
        </row>
        <row r="71">
          <cell r="F71">
            <v>24894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81</v>
          </cell>
        </row>
        <row r="75">
          <cell r="F75">
            <v>387</v>
          </cell>
        </row>
        <row r="76">
          <cell r="F76">
            <v>10</v>
          </cell>
        </row>
        <row r="77">
          <cell r="F77">
            <v>3</v>
          </cell>
        </row>
        <row r="79">
          <cell r="F79">
            <v>181</v>
          </cell>
        </row>
        <row r="80">
          <cell r="F80">
            <v>13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0-08-19T16:16:22.00" personId="{00000000-0000-0000-0000-000000000000}" id="{458235DB-798C-47CC-9132-4F90EF69A98A}">
    <text>UG-200568 avg therms per month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6" sqref="A6:F6"/>
    </sheetView>
  </sheetViews>
  <sheetFormatPr defaultRowHeight="10.5"/>
  <cols>
    <col min="1" max="1" width="73.33203125" bestFit="1" customWidth="1"/>
  </cols>
  <sheetData>
    <row r="1" spans="1:5" ht="15.75">
      <c r="A1" s="580" t="s">
        <v>224</v>
      </c>
      <c r="B1" s="580"/>
      <c r="C1" s="580"/>
      <c r="D1" s="580"/>
      <c r="E1" s="580"/>
    </row>
    <row r="3" spans="1:5" ht="15.75">
      <c r="A3" s="581" t="s">
        <v>225</v>
      </c>
      <c r="B3" s="581"/>
      <c r="C3" s="581"/>
      <c r="D3" s="581"/>
      <c r="E3" s="581"/>
    </row>
    <row r="6" spans="1:5" ht="15.75">
      <c r="A6" s="581" t="s">
        <v>238</v>
      </c>
      <c r="B6" s="581"/>
      <c r="C6" s="581"/>
      <c r="D6" s="581"/>
      <c r="E6" s="581"/>
    </row>
    <row r="9" spans="1:5" ht="15.75">
      <c r="A9" s="323" t="s">
        <v>0</v>
      </c>
      <c r="B9" s="324"/>
      <c r="C9" s="324"/>
      <c r="D9" s="324"/>
      <c r="E9" s="323" t="s">
        <v>226</v>
      </c>
    </row>
    <row r="10" spans="1:5" ht="15.75">
      <c r="A10" s="324"/>
      <c r="B10" s="324"/>
      <c r="C10" s="324"/>
      <c r="D10" s="324"/>
      <c r="E10" s="324"/>
    </row>
    <row r="11" spans="1:5" ht="15.75">
      <c r="A11" s="324" t="s">
        <v>231</v>
      </c>
      <c r="B11" s="324"/>
      <c r="C11" s="324"/>
      <c r="D11" s="324"/>
      <c r="E11" s="325" t="s">
        <v>230</v>
      </c>
    </row>
    <row r="12" spans="1:5" ht="15.75">
      <c r="A12" s="324" t="s">
        <v>232</v>
      </c>
      <c r="B12" s="324"/>
      <c r="C12" s="324"/>
      <c r="D12" s="324"/>
      <c r="E12" s="326">
        <v>2</v>
      </c>
    </row>
    <row r="13" spans="1:5" ht="15.75">
      <c r="A13" s="324" t="s">
        <v>233</v>
      </c>
      <c r="B13" s="324"/>
      <c r="C13" s="324"/>
      <c r="D13" s="324"/>
      <c r="E13" s="326">
        <v>3</v>
      </c>
    </row>
    <row r="14" spans="1:5" ht="15.75">
      <c r="A14" s="324" t="s">
        <v>234</v>
      </c>
      <c r="B14" s="324"/>
      <c r="C14" s="324"/>
      <c r="D14" s="324"/>
      <c r="E14" s="326">
        <v>4</v>
      </c>
    </row>
    <row r="15" spans="1:5" ht="15.75">
      <c r="A15" s="324" t="s">
        <v>237</v>
      </c>
      <c r="B15" s="324"/>
      <c r="C15" s="324"/>
      <c r="D15" s="324"/>
      <c r="E15" s="326">
        <v>5</v>
      </c>
    </row>
    <row r="16" spans="1:5" ht="15.75">
      <c r="B16" s="324"/>
      <c r="C16" s="324"/>
      <c r="D16" s="324"/>
      <c r="E16" s="326"/>
    </row>
    <row r="17" spans="2:5" ht="15.75">
      <c r="B17" s="324"/>
      <c r="C17" s="324"/>
      <c r="D17" s="324"/>
      <c r="E17" s="326"/>
    </row>
    <row r="18" spans="2:5" ht="15.75">
      <c r="B18" s="324"/>
      <c r="C18" s="324"/>
      <c r="D18" s="324"/>
      <c r="E18" s="326"/>
    </row>
    <row r="19" spans="2:5" ht="15.75">
      <c r="B19" s="324"/>
      <c r="C19" s="324"/>
      <c r="D19" s="324"/>
      <c r="E19" s="326"/>
    </row>
    <row r="20" spans="2:5" ht="15.75">
      <c r="B20" s="324"/>
      <c r="C20" s="324"/>
      <c r="D20" s="324"/>
      <c r="E20" s="326"/>
    </row>
  </sheetData>
  <mergeCells count="3">
    <mergeCell ref="A1:E1"/>
    <mergeCell ref="A3:E3"/>
    <mergeCell ref="A6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62" customWidth="1"/>
    <col min="2" max="2" width="28.6640625" style="47" bestFit="1" customWidth="1"/>
    <col min="3" max="3" width="18.83203125" style="47" customWidth="1"/>
    <col min="4" max="4" width="1.83203125" style="47" customWidth="1"/>
    <col min="5" max="5" width="20" style="47" customWidth="1"/>
    <col min="6" max="6" width="1.83203125" style="47" customWidth="1"/>
    <col min="7" max="7" width="15.5" style="47" customWidth="1"/>
    <col min="8" max="8" width="14.6640625" style="47" customWidth="1"/>
    <col min="9" max="9" width="12.33203125" style="47" customWidth="1"/>
    <col min="10" max="10" width="5.83203125" style="47" customWidth="1"/>
    <col min="11" max="16384" width="12" style="47"/>
  </cols>
  <sheetData>
    <row r="1" spans="1:17" ht="15" customHeight="1"/>
    <row r="2" spans="1:17" ht="15" customHeight="1">
      <c r="A2" s="47"/>
      <c r="B2" s="121"/>
      <c r="C2" s="597" t="s">
        <v>53</v>
      </c>
      <c r="D2" s="597"/>
      <c r="E2" s="597"/>
      <c r="F2" s="597"/>
      <c r="G2" s="597"/>
      <c r="H2" s="121"/>
      <c r="I2" s="82" t="s">
        <v>214</v>
      </c>
    </row>
    <row r="3" spans="1:17" ht="15" customHeight="1">
      <c r="A3" s="47"/>
      <c r="B3" s="121"/>
      <c r="C3" s="597" t="s">
        <v>94</v>
      </c>
      <c r="D3" s="597"/>
      <c r="E3" s="597"/>
      <c r="F3" s="597"/>
      <c r="G3" s="597"/>
      <c r="H3" s="121"/>
      <c r="I3" s="122"/>
    </row>
    <row r="4" spans="1:17" ht="15" customHeight="1">
      <c r="A4" s="47"/>
      <c r="B4" s="121"/>
      <c r="C4" s="603" t="s">
        <v>216</v>
      </c>
      <c r="D4" s="603"/>
      <c r="E4" s="603"/>
      <c r="F4" s="603"/>
      <c r="G4" s="603"/>
      <c r="H4" s="121"/>
      <c r="I4" s="112"/>
    </row>
    <row r="5" spans="1:17" ht="15" customHeight="1">
      <c r="A5" s="47"/>
      <c r="B5" s="121"/>
      <c r="C5" s="597" t="s">
        <v>55</v>
      </c>
      <c r="D5" s="597"/>
      <c r="E5" s="597"/>
      <c r="F5" s="597"/>
      <c r="G5" s="597"/>
      <c r="H5" s="121"/>
      <c r="I5" s="123"/>
    </row>
    <row r="8" spans="1:17">
      <c r="G8" s="92" t="s">
        <v>57</v>
      </c>
    </row>
    <row r="9" spans="1:17">
      <c r="A9" s="92" t="s">
        <v>7</v>
      </c>
      <c r="E9" s="124" t="s">
        <v>95</v>
      </c>
      <c r="G9" s="92" t="s">
        <v>52</v>
      </c>
      <c r="H9" s="92" t="s">
        <v>61</v>
      </c>
      <c r="I9" s="92" t="s">
        <v>62</v>
      </c>
    </row>
    <row r="10" spans="1:17" s="62" customFormat="1">
      <c r="A10" s="92" t="s">
        <v>10</v>
      </c>
      <c r="B10" s="92" t="s">
        <v>0</v>
      </c>
      <c r="C10" s="92" t="s">
        <v>96</v>
      </c>
      <c r="E10" s="59" t="s">
        <v>177</v>
      </c>
      <c r="G10" s="92" t="s">
        <v>67</v>
      </c>
      <c r="H10" s="92" t="s">
        <v>67</v>
      </c>
      <c r="I10" s="92" t="s">
        <v>67</v>
      </c>
    </row>
    <row r="11" spans="1:17" s="62" customFormat="1">
      <c r="A11" s="125"/>
      <c r="B11" s="126" t="s">
        <v>15</v>
      </c>
      <c r="C11" s="126" t="s">
        <v>16</v>
      </c>
      <c r="D11" s="125"/>
      <c r="E11" s="126" t="s">
        <v>17</v>
      </c>
      <c r="F11" s="125"/>
      <c r="G11" s="126" t="s">
        <v>18</v>
      </c>
      <c r="H11" s="126" t="s">
        <v>19</v>
      </c>
      <c r="I11" s="126" t="s">
        <v>107</v>
      </c>
    </row>
    <row r="12" spans="1:17" ht="8.25" customHeight="1"/>
    <row r="13" spans="1:17">
      <c r="A13" s="92">
        <v>1</v>
      </c>
      <c r="B13" s="56" t="s">
        <v>114</v>
      </c>
      <c r="C13" s="86">
        <f>+'Ex-2'!F13</f>
        <v>118476427</v>
      </c>
      <c r="D13" s="7"/>
      <c r="E13" s="86">
        <f>+'Ex-2'!H13</f>
        <v>121197050</v>
      </c>
      <c r="G13" s="127">
        <f>+'Ex-2'!K13</f>
        <v>4.1500000000000009E-3</v>
      </c>
      <c r="H13" s="55">
        <f>+G13*C13</f>
        <v>491677.17205000011</v>
      </c>
      <c r="I13" s="128">
        <f>+H13/E13</f>
        <v>4.0568410868911421E-3</v>
      </c>
      <c r="Q13" s="202"/>
    </row>
    <row r="14" spans="1:17">
      <c r="C14" s="86"/>
      <c r="D14" s="7"/>
      <c r="E14" s="86"/>
      <c r="G14" s="127"/>
      <c r="H14" s="55"/>
      <c r="I14" s="128"/>
      <c r="Q14" s="202"/>
    </row>
    <row r="15" spans="1:17">
      <c r="A15" s="92">
        <v>2</v>
      </c>
      <c r="B15" s="56" t="s">
        <v>115</v>
      </c>
      <c r="C15" s="86">
        <f>+'Ex-2'!F14</f>
        <v>80983340</v>
      </c>
      <c r="D15" s="7"/>
      <c r="E15" s="86">
        <f>+'Ex-2'!H14</f>
        <v>77628809</v>
      </c>
      <c r="G15" s="127">
        <f>+'Ex-2'!K14</f>
        <v>4.4099999999999999E-3</v>
      </c>
      <c r="H15" s="55">
        <f>+G15*C15</f>
        <v>357136.5294</v>
      </c>
      <c r="I15" s="128">
        <f>+H15/E15</f>
        <v>4.6005669029393452E-3</v>
      </c>
      <c r="Q15" s="202"/>
    </row>
    <row r="16" spans="1:17">
      <c r="C16" s="86"/>
      <c r="D16" s="7"/>
      <c r="E16" s="86"/>
      <c r="G16" s="127"/>
      <c r="H16" s="55"/>
      <c r="I16" s="128"/>
      <c r="Q16" s="202"/>
    </row>
    <row r="17" spans="1:17">
      <c r="A17" s="92">
        <v>3</v>
      </c>
      <c r="B17" s="56" t="s">
        <v>116</v>
      </c>
      <c r="C17" s="86">
        <f>+'Ex-2'!F15</f>
        <v>13450676</v>
      </c>
      <c r="D17" s="7"/>
      <c r="E17" s="86">
        <f>+'Ex-2'!H15</f>
        <v>10594609</v>
      </c>
      <c r="G17" s="127">
        <f>+'Ex-2'!K15</f>
        <v>8.8000000000000057E-4</v>
      </c>
      <c r="H17" s="55">
        <f>+G17*C17</f>
        <v>11836.594880000008</v>
      </c>
      <c r="I17" s="128">
        <f>+H17/E17</f>
        <v>1.117228099687304E-3</v>
      </c>
      <c r="Q17" s="202"/>
    </row>
    <row r="18" spans="1:17">
      <c r="C18" s="86"/>
      <c r="D18" s="7"/>
      <c r="E18" s="86"/>
      <c r="G18" s="127"/>
      <c r="H18" s="55"/>
      <c r="I18" s="128"/>
      <c r="Q18" s="202"/>
    </row>
    <row r="19" spans="1:17">
      <c r="A19" s="62">
        <v>4</v>
      </c>
      <c r="B19" s="47" t="s">
        <v>117</v>
      </c>
      <c r="C19" s="86">
        <f>+'Ex-2'!F16</f>
        <v>8608384</v>
      </c>
      <c r="D19" s="7"/>
      <c r="E19" s="86">
        <f>+'Ex-2'!H16</f>
        <v>6795588</v>
      </c>
      <c r="G19" s="127">
        <f>+'Ex-2'!K16</f>
        <v>2.63E-3</v>
      </c>
      <c r="H19" s="55">
        <f>+G19*C19</f>
        <v>22640.049920000001</v>
      </c>
      <c r="I19" s="128">
        <f>+H19/E19</f>
        <v>3.3315807138396265E-3</v>
      </c>
      <c r="Q19" s="202"/>
    </row>
    <row r="20" spans="1:17">
      <c r="C20" s="86"/>
      <c r="D20" s="7"/>
      <c r="E20" s="86"/>
      <c r="G20" s="127"/>
      <c r="H20" s="55"/>
      <c r="I20" s="128"/>
      <c r="Q20" s="202"/>
    </row>
    <row r="21" spans="1:17">
      <c r="A21" s="92">
        <v>5</v>
      </c>
      <c r="B21" s="56" t="s">
        <v>118</v>
      </c>
      <c r="C21" s="86">
        <f>+'Ex-2'!F19</f>
        <v>4238887</v>
      </c>
      <c r="D21" s="7"/>
      <c r="E21" s="86">
        <f>+'Ex-2'!H19</f>
        <v>2870316</v>
      </c>
      <c r="G21" s="127">
        <f>+'Ex-2'!K19</f>
        <v>6.0999999999999997E-4</v>
      </c>
      <c r="H21" s="55">
        <f>+G21*C21</f>
        <v>2585.7210700000001</v>
      </c>
      <c r="I21" s="128">
        <f>+H21/E21</f>
        <v>9.0084892046729352E-4</v>
      </c>
      <c r="Q21" s="202"/>
    </row>
    <row r="22" spans="1:17">
      <c r="C22" s="7"/>
      <c r="D22" s="7"/>
      <c r="E22" s="7"/>
      <c r="G22" s="43"/>
      <c r="I22" s="128"/>
    </row>
    <row r="23" spans="1:17">
      <c r="A23" s="62">
        <v>6</v>
      </c>
      <c r="B23" s="56" t="s">
        <v>143</v>
      </c>
      <c r="C23" s="86">
        <f>+'Ex-2'!F20</f>
        <v>412711</v>
      </c>
      <c r="D23" s="7"/>
      <c r="E23" s="86">
        <f>+'Ex-2'!H20</f>
        <v>307005</v>
      </c>
      <c r="G23" s="127">
        <f>+'Ex-2'!K20</f>
        <v>1.31E-3</v>
      </c>
      <c r="H23" s="55">
        <f>+G23*C23</f>
        <v>540.65140999999994</v>
      </c>
      <c r="I23" s="128">
        <f>+H23/E23</f>
        <v>1.7610508297910455E-3</v>
      </c>
    </row>
    <row r="24" spans="1:17">
      <c r="C24" s="7"/>
      <c r="D24" s="7"/>
      <c r="E24" s="7"/>
      <c r="G24" s="43"/>
      <c r="I24" s="128"/>
    </row>
    <row r="25" spans="1:17">
      <c r="A25" s="92">
        <v>7</v>
      </c>
      <c r="B25" s="47" t="s">
        <v>207</v>
      </c>
      <c r="C25" s="7">
        <f>+'Ex-2'!F24</f>
        <v>448282732</v>
      </c>
      <c r="D25" s="7"/>
      <c r="E25" s="7">
        <f>+'Ex-2'!H24</f>
        <v>14405303</v>
      </c>
      <c r="G25" s="127">
        <f>+'Ex-2'!K24</f>
        <v>3.6999999999999999E-4</v>
      </c>
      <c r="H25" s="55">
        <f>+G25*C25</f>
        <v>165864.61084000001</v>
      </c>
      <c r="I25" s="128">
        <f>+H25/E25</f>
        <v>1.1514135512456768E-2</v>
      </c>
    </row>
    <row r="26" spans="1:17">
      <c r="C26" s="7"/>
      <c r="D26" s="7"/>
      <c r="E26" s="7"/>
      <c r="G26" s="43"/>
      <c r="I26" s="128"/>
    </row>
    <row r="27" spans="1:17">
      <c r="A27" s="92">
        <v>8</v>
      </c>
      <c r="B27" s="57" t="s">
        <v>208</v>
      </c>
      <c r="C27" s="86">
        <f>+[1]Ex1p4!F23</f>
        <v>0</v>
      </c>
      <c r="D27" s="281"/>
      <c r="E27" s="86">
        <f>+[1]Ex1p4!H23</f>
        <v>0</v>
      </c>
      <c r="G27" s="127">
        <f>+[1]Ex1p4!K23</f>
        <v>0</v>
      </c>
      <c r="H27" s="282">
        <f>+G27*C27</f>
        <v>0</v>
      </c>
      <c r="I27" s="283">
        <v>0</v>
      </c>
    </row>
    <row r="28" spans="1:17" ht="22.5" customHeight="1">
      <c r="A28" s="284"/>
      <c r="B28" s="54"/>
      <c r="C28" s="54"/>
      <c r="D28" s="54"/>
      <c r="E28" s="54"/>
      <c r="F28" s="54"/>
      <c r="G28" s="54"/>
      <c r="H28" s="54"/>
      <c r="I28" s="285"/>
      <c r="J28" s="54"/>
      <c r="K28" s="54"/>
      <c r="L28" s="54"/>
      <c r="M28" s="54"/>
    </row>
    <row r="29" spans="1:17" ht="32.25" customHeight="1">
      <c r="A29" s="49"/>
      <c r="B29" s="604" t="s">
        <v>209</v>
      </c>
      <c r="C29" s="604"/>
      <c r="D29" s="604"/>
      <c r="E29" s="604"/>
      <c r="F29" s="604"/>
      <c r="G29" s="604"/>
      <c r="H29" s="604"/>
      <c r="I29" s="604"/>
      <c r="J29" s="54"/>
      <c r="K29" s="54"/>
      <c r="L29" s="54"/>
      <c r="M29" s="54"/>
    </row>
    <row r="30" spans="1:17">
      <c r="A30" s="28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64" spans="1:7">
      <c r="A64" s="47"/>
      <c r="G64" s="58"/>
    </row>
    <row r="65" spans="1:9">
      <c r="A65" s="47"/>
      <c r="H65" s="58"/>
    </row>
    <row r="66" spans="1:9">
      <c r="A66" s="47"/>
      <c r="E66" s="7"/>
      <c r="G66" s="7"/>
      <c r="H66" s="7"/>
      <c r="I66" s="7"/>
    </row>
    <row r="67" spans="1:9">
      <c r="A67" s="47"/>
      <c r="E67" s="7"/>
      <c r="G67" s="7"/>
      <c r="H67" s="7"/>
      <c r="I67" s="7"/>
    </row>
    <row r="68" spans="1:9">
      <c r="A68" s="47"/>
      <c r="E68" s="7"/>
      <c r="G68" s="7"/>
      <c r="H68" s="7"/>
      <c r="I68" s="7"/>
    </row>
    <row r="69" spans="1:9">
      <c r="A69" s="47"/>
      <c r="E69" s="7"/>
      <c r="G69" s="7"/>
      <c r="H69" s="7"/>
      <c r="I69" s="7"/>
    </row>
    <row r="70" spans="1:9">
      <c r="A70" s="47"/>
      <c r="E70" s="7"/>
      <c r="G70" s="7"/>
      <c r="H70" s="7"/>
      <c r="I70" s="7"/>
    </row>
    <row r="71" spans="1:9">
      <c r="A71" s="47"/>
      <c r="E71" s="7"/>
      <c r="G71" s="7"/>
      <c r="H71" s="7"/>
      <c r="I71" s="7"/>
    </row>
    <row r="72" spans="1:9">
      <c r="A72" s="47"/>
      <c r="E72" s="7"/>
      <c r="G72" s="7"/>
      <c r="H72" s="7"/>
      <c r="I72" s="7"/>
    </row>
    <row r="76" spans="1:9">
      <c r="A76" s="47"/>
      <c r="B76" s="58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62" customWidth="1"/>
    <col min="2" max="2" width="27" style="47" bestFit="1" customWidth="1"/>
    <col min="3" max="3" width="16.1640625" style="47" customWidth="1"/>
    <col min="4" max="4" width="1.83203125" style="47" customWidth="1"/>
    <col min="5" max="5" width="19" style="47" bestFit="1" customWidth="1"/>
    <col min="6" max="6" width="1.83203125" style="47" customWidth="1"/>
    <col min="7" max="7" width="16.33203125" style="47" customWidth="1"/>
    <col min="8" max="8" width="1.83203125" style="47" customWidth="1"/>
    <col min="9" max="9" width="15.33203125" style="47" customWidth="1"/>
    <col min="10" max="10" width="1.83203125" style="47" customWidth="1"/>
    <col min="11" max="16384" width="12" style="47"/>
  </cols>
  <sheetData>
    <row r="2" spans="1:15">
      <c r="A2" s="47"/>
      <c r="B2" s="46"/>
      <c r="C2" s="597" t="s">
        <v>53</v>
      </c>
      <c r="D2" s="597"/>
      <c r="E2" s="597"/>
      <c r="F2" s="597"/>
      <c r="G2" s="597"/>
      <c r="H2" s="597"/>
      <c r="I2" s="46"/>
      <c r="K2" s="82" t="s">
        <v>214</v>
      </c>
    </row>
    <row r="3" spans="1:15">
      <c r="A3" s="47"/>
      <c r="B3" s="46"/>
      <c r="C3" s="597" t="s">
        <v>94</v>
      </c>
      <c r="D3" s="597"/>
      <c r="E3" s="597"/>
      <c r="F3" s="597"/>
      <c r="G3" s="597"/>
      <c r="H3" s="597"/>
      <c r="I3" s="46"/>
      <c r="K3" s="122"/>
    </row>
    <row r="4" spans="1:15">
      <c r="A4" s="47"/>
      <c r="B4" s="46"/>
      <c r="C4" s="605" t="s">
        <v>216</v>
      </c>
      <c r="D4" s="603"/>
      <c r="E4" s="603"/>
      <c r="F4" s="603"/>
      <c r="G4" s="603"/>
      <c r="H4" s="603"/>
      <c r="I4" s="46"/>
      <c r="K4" s="112"/>
    </row>
    <row r="5" spans="1:15">
      <c r="A5" s="47"/>
      <c r="B5" s="46"/>
      <c r="C5" s="597" t="s">
        <v>55</v>
      </c>
      <c r="D5" s="597"/>
      <c r="E5" s="597"/>
      <c r="F5" s="597"/>
      <c r="G5" s="597"/>
      <c r="H5" s="597"/>
      <c r="I5" s="46"/>
      <c r="J5" s="56"/>
    </row>
    <row r="6" spans="1:15">
      <c r="C6" s="46"/>
      <c r="D6" s="46"/>
      <c r="E6" s="46"/>
      <c r="F6" s="46"/>
      <c r="G6" s="46"/>
      <c r="H6" s="46"/>
      <c r="I6" s="46"/>
      <c r="J6" s="56"/>
    </row>
    <row r="7" spans="1:15" s="62" customFormat="1">
      <c r="C7" s="92" t="s">
        <v>97</v>
      </c>
      <c r="G7" s="92" t="s">
        <v>98</v>
      </c>
    </row>
    <row r="8" spans="1:15" s="62" customFormat="1">
      <c r="A8" s="92" t="s">
        <v>7</v>
      </c>
      <c r="C8" s="92" t="s">
        <v>99</v>
      </c>
      <c r="E8" s="92" t="s">
        <v>100</v>
      </c>
      <c r="G8" s="92" t="s">
        <v>101</v>
      </c>
      <c r="I8" s="92" t="s">
        <v>6</v>
      </c>
      <c r="K8" s="92" t="s">
        <v>62</v>
      </c>
    </row>
    <row r="9" spans="1:15" s="62" customFormat="1">
      <c r="A9" s="92" t="s">
        <v>10</v>
      </c>
      <c r="B9" s="92" t="s">
        <v>0</v>
      </c>
      <c r="C9" s="92" t="s">
        <v>102</v>
      </c>
      <c r="E9" s="59" t="s">
        <v>187</v>
      </c>
      <c r="G9" s="92" t="s">
        <v>103</v>
      </c>
      <c r="I9" s="92" t="s">
        <v>104</v>
      </c>
      <c r="K9" s="92" t="s">
        <v>67</v>
      </c>
    </row>
    <row r="10" spans="1:15" s="62" customFormat="1">
      <c r="A10" s="125"/>
      <c r="B10" s="126" t="s">
        <v>15</v>
      </c>
      <c r="C10" s="126" t="s">
        <v>16</v>
      </c>
      <c r="D10" s="125"/>
      <c r="E10" s="126" t="s">
        <v>17</v>
      </c>
      <c r="F10" s="125"/>
      <c r="G10" s="126" t="s">
        <v>18</v>
      </c>
      <c r="H10" s="125"/>
      <c r="I10" s="126" t="s">
        <v>19</v>
      </c>
      <c r="J10" s="125"/>
      <c r="K10" s="126" t="s">
        <v>107</v>
      </c>
    </row>
    <row r="11" spans="1:15" ht="9" customHeight="1"/>
    <row r="12" spans="1:15">
      <c r="A12" s="92">
        <v>1</v>
      </c>
      <c r="B12" s="56" t="s">
        <v>114</v>
      </c>
      <c r="C12" s="129">
        <f>+[1]Ex1p4!F13/[1]Ex1p4!E13/12</f>
        <v>56.370317240093023</v>
      </c>
      <c r="E12" s="99">
        <f>+'Ex-2'!H13/'Ex-2'!E13/12</f>
        <v>57.664772056836391</v>
      </c>
      <c r="G12" s="99">
        <f>+C12*'Ex-2'!K13</f>
        <v>0.23393681654638609</v>
      </c>
      <c r="I12" s="99">
        <f>E12+G12</f>
        <v>57.89870887338278</v>
      </c>
      <c r="K12" s="130">
        <f>G12/E12</f>
        <v>4.0568410868911421E-3</v>
      </c>
      <c r="O12" s="202"/>
    </row>
    <row r="13" spans="1:15">
      <c r="C13" s="55"/>
      <c r="E13" s="99"/>
      <c r="G13" s="101"/>
      <c r="I13" s="101"/>
      <c r="O13" s="202"/>
    </row>
    <row r="14" spans="1:15">
      <c r="A14" s="92">
        <v>2</v>
      </c>
      <c r="B14" s="56" t="s">
        <v>115</v>
      </c>
      <c r="C14" s="55">
        <f>[1]Ex1p4!F14/[1]Ex1p4!E14/12</f>
        <v>271.0939048231167</v>
      </c>
      <c r="E14" s="99">
        <f>+'Ex-2'!H14/'Ex-2'!E14/12</f>
        <v>259.86452224096837</v>
      </c>
      <c r="G14" s="99">
        <f>+C14*'Ex-2'!K14</f>
        <v>1.1955241202699447</v>
      </c>
      <c r="I14" s="99">
        <f>E14+G14</f>
        <v>261.06004636123834</v>
      </c>
      <c r="K14" s="130">
        <f>G14/E14</f>
        <v>4.6005669029393461E-3</v>
      </c>
      <c r="O14" s="202"/>
    </row>
    <row r="15" spans="1:15">
      <c r="C15" s="55"/>
      <c r="E15" s="131"/>
      <c r="G15" s="132"/>
      <c r="I15" s="101"/>
      <c r="N15" s="62"/>
      <c r="O15" s="202"/>
    </row>
    <row r="16" spans="1:15">
      <c r="A16" s="92">
        <v>3</v>
      </c>
      <c r="B16" s="56" t="s">
        <v>116</v>
      </c>
      <c r="C16" s="133" t="s">
        <v>105</v>
      </c>
      <c r="E16" s="127">
        <f>+'Ex-2'!H15/'Ex-2'!F15</f>
        <v>0.7876636832230588</v>
      </c>
      <c r="G16" s="127">
        <f>+'Ex-2'!K15</f>
        <v>8.8000000000000057E-4</v>
      </c>
      <c r="I16" s="127">
        <f>E16+G16</f>
        <v>0.78854368322305879</v>
      </c>
      <c r="K16" s="130">
        <f>G16/E16</f>
        <v>1.117228099687304E-3</v>
      </c>
      <c r="O16" s="202"/>
    </row>
    <row r="17" spans="1:15">
      <c r="C17" s="55"/>
      <c r="E17" s="127"/>
      <c r="G17" s="127"/>
      <c r="I17" s="127"/>
      <c r="K17" s="130"/>
      <c r="O17" s="202"/>
    </row>
    <row r="18" spans="1:15">
      <c r="A18" s="62">
        <v>4</v>
      </c>
      <c r="B18" s="56" t="s">
        <v>117</v>
      </c>
      <c r="C18" s="133" t="s">
        <v>105</v>
      </c>
      <c r="E18" s="127">
        <f>+'Ex-2'!H16/'Ex-2'!F16</f>
        <v>0.78941506326855304</v>
      </c>
      <c r="G18" s="127">
        <f>+'Ex-2'!K16</f>
        <v>2.63E-3</v>
      </c>
      <c r="I18" s="127">
        <f>E18+G18</f>
        <v>0.79204506326855306</v>
      </c>
      <c r="K18" s="130">
        <f>G18/E18</f>
        <v>3.3315807138396265E-3</v>
      </c>
      <c r="O18" s="202"/>
    </row>
    <row r="19" spans="1:15">
      <c r="C19" s="55"/>
      <c r="E19" s="127"/>
      <c r="G19" s="127"/>
      <c r="I19" s="127"/>
      <c r="O19" s="202"/>
    </row>
    <row r="20" spans="1:15">
      <c r="A20" s="92">
        <v>5</v>
      </c>
      <c r="B20" s="56" t="s">
        <v>118</v>
      </c>
      <c r="C20" s="133" t="s">
        <v>105</v>
      </c>
      <c r="E20" s="127">
        <f>+'Ex-2'!H19/'Ex-2'!F19</f>
        <v>0.67713906976052907</v>
      </c>
      <c r="G20" s="127">
        <f>+'Ex-2'!K19</f>
        <v>6.0999999999999997E-4</v>
      </c>
      <c r="I20" s="127">
        <f>E20+G20</f>
        <v>0.67774906976052907</v>
      </c>
      <c r="K20" s="130">
        <f>G20/E20</f>
        <v>9.0084892046729352E-4</v>
      </c>
      <c r="O20" s="202"/>
    </row>
    <row r="21" spans="1:15">
      <c r="E21" s="43"/>
      <c r="G21" s="43"/>
      <c r="I21" s="127"/>
      <c r="K21" s="130"/>
    </row>
    <row r="22" spans="1:15">
      <c r="A22" s="62">
        <v>6</v>
      </c>
      <c r="B22" s="56" t="s">
        <v>143</v>
      </c>
      <c r="C22" s="133" t="s">
        <v>105</v>
      </c>
      <c r="E22" s="127">
        <f>+'Ex-2'!H20/'Ex-2'!F20</f>
        <v>0.74387404261093115</v>
      </c>
      <c r="G22" s="43">
        <f>+'Ex-2'!K20</f>
        <v>1.31E-3</v>
      </c>
      <c r="I22" s="127">
        <f>E22+G22</f>
        <v>0.74518404261093119</v>
      </c>
      <c r="K22" s="130">
        <f>G22/E22</f>
        <v>1.7610508297910457E-3</v>
      </c>
    </row>
    <row r="23" spans="1:15">
      <c r="E23" s="43"/>
      <c r="G23" s="43"/>
      <c r="I23" s="127"/>
      <c r="K23" s="130"/>
    </row>
    <row r="24" spans="1:15">
      <c r="A24" s="62">
        <v>7</v>
      </c>
      <c r="B24" s="47" t="s">
        <v>207</v>
      </c>
      <c r="C24" s="133" t="s">
        <v>105</v>
      </c>
      <c r="E24" s="127">
        <f>+'Ex-2'!H24/'Ex-2'!F24</f>
        <v>3.2134414224994058E-2</v>
      </c>
      <c r="G24" s="127">
        <f>+'Ex-2'!K24</f>
        <v>3.6999999999999999E-4</v>
      </c>
      <c r="I24" s="127">
        <f>E24+G24</f>
        <v>3.250441422499406E-2</v>
      </c>
      <c r="K24" s="130">
        <f>G24/E24</f>
        <v>1.1514135512456768E-2</v>
      </c>
    </row>
    <row r="25" spans="1:15">
      <c r="G25" s="43"/>
      <c r="I25" s="101"/>
    </row>
    <row r="26" spans="1:15">
      <c r="A26" s="92">
        <v>8</v>
      </c>
      <c r="B26" s="56" t="s">
        <v>210</v>
      </c>
      <c r="C26" s="133" t="s">
        <v>105</v>
      </c>
      <c r="E26" s="286" t="s">
        <v>211</v>
      </c>
      <c r="G26" s="127">
        <f>+[1]Ex1p4!K23</f>
        <v>0</v>
      </c>
      <c r="I26" s="286" t="s">
        <v>211</v>
      </c>
      <c r="K26" s="286" t="s">
        <v>211</v>
      </c>
    </row>
    <row r="27" spans="1:15" ht="22.5" customHeight="1"/>
    <row r="28" spans="1:15" ht="29.25" customHeight="1">
      <c r="B28" s="606" t="s">
        <v>212</v>
      </c>
      <c r="C28" s="606"/>
      <c r="D28" s="606"/>
      <c r="E28" s="606"/>
      <c r="F28" s="606"/>
      <c r="G28" s="606"/>
      <c r="H28" s="606"/>
      <c r="I28" s="606"/>
      <c r="J28" s="606"/>
      <c r="K28" s="606"/>
    </row>
    <row r="29" spans="1:15">
      <c r="B29" s="56"/>
    </row>
    <row r="30" spans="1:15">
      <c r="B30" s="56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A6" sqref="A6:E6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23"/>
  <sheetViews>
    <sheetView topLeftCell="A4" zoomScaleNormal="100" workbookViewId="0">
      <pane xSplit="1" topLeftCell="B1" activePane="topRight" state="frozen"/>
      <selection activeCell="V23" sqref="V23"/>
      <selection pane="topRight" activeCell="I6" sqref="I6"/>
    </sheetView>
  </sheetViews>
  <sheetFormatPr defaultRowHeight="15"/>
  <cols>
    <col min="1" max="1" width="24.33203125" style="199" bestFit="1" customWidth="1"/>
    <col min="2" max="2" width="21.1640625" style="199" customWidth="1"/>
    <col min="3" max="3" width="72" style="199" bestFit="1" customWidth="1"/>
    <col min="4" max="4" width="24.33203125" style="199" bestFit="1" customWidth="1"/>
    <col min="5" max="5" width="11.1640625" style="199" bestFit="1" customWidth="1"/>
    <col min="6" max="6" width="8.6640625" style="199" bestFit="1" customWidth="1"/>
    <col min="7" max="9" width="10.6640625" style="199" customWidth="1"/>
    <col min="10" max="16384" width="9.33203125" style="199"/>
  </cols>
  <sheetData>
    <row r="1" spans="1:9">
      <c r="C1" s="597" t="s">
        <v>53</v>
      </c>
      <c r="D1" s="597"/>
      <c r="E1" s="597"/>
      <c r="F1" s="597"/>
      <c r="G1" s="597"/>
      <c r="H1" s="597"/>
    </row>
    <row r="2" spans="1:9">
      <c r="C2" s="597" t="s">
        <v>253</v>
      </c>
      <c r="D2" s="597"/>
      <c r="E2" s="597"/>
      <c r="F2" s="597"/>
      <c r="G2" s="597"/>
      <c r="H2" s="597"/>
    </row>
    <row r="3" spans="1:9">
      <c r="C3" s="608" t="s">
        <v>250</v>
      </c>
      <c r="D3" s="597"/>
      <c r="E3" s="597"/>
      <c r="F3" s="597"/>
      <c r="G3" s="597"/>
      <c r="H3" s="597"/>
    </row>
    <row r="4" spans="1:9">
      <c r="C4" s="597" t="s">
        <v>55</v>
      </c>
      <c r="D4" s="597"/>
      <c r="E4" s="597"/>
      <c r="F4" s="597"/>
      <c r="G4" s="597"/>
      <c r="H4" s="597"/>
    </row>
    <row r="7" spans="1:9">
      <c r="A7" s="209"/>
      <c r="B7" s="3"/>
      <c r="C7" s="89"/>
    </row>
    <row r="8" spans="1:9">
      <c r="A8" s="607" t="s">
        <v>254</v>
      </c>
      <c r="B8" s="607"/>
      <c r="C8" s="607"/>
    </row>
    <row r="9" spans="1:9">
      <c r="D9" s="204"/>
      <c r="G9" s="560"/>
      <c r="H9" s="560"/>
      <c r="I9" s="560"/>
    </row>
    <row r="10" spans="1:9">
      <c r="A10" s="205"/>
      <c r="B10" s="205"/>
      <c r="C10" s="89" t="s">
        <v>180</v>
      </c>
      <c r="D10" s="207"/>
      <c r="E10" s="207"/>
      <c r="F10" s="207"/>
      <c r="G10" s="207"/>
      <c r="H10" s="207"/>
      <c r="I10" s="207"/>
    </row>
    <row r="11" spans="1:9" ht="30">
      <c r="A11" s="208" t="s">
        <v>40</v>
      </c>
      <c r="B11" s="208" t="s">
        <v>121</v>
      </c>
      <c r="C11" s="208" t="s">
        <v>39</v>
      </c>
      <c r="D11" s="296" t="s">
        <v>252</v>
      </c>
      <c r="E11" s="208" t="s">
        <v>130</v>
      </c>
      <c r="F11" s="208" t="s">
        <v>38</v>
      </c>
      <c r="G11" s="208" t="s">
        <v>5</v>
      </c>
      <c r="H11" s="208" t="s">
        <v>8</v>
      </c>
      <c r="I11" s="208" t="s">
        <v>44</v>
      </c>
    </row>
    <row r="12" spans="1:9">
      <c r="A12" s="199" t="s">
        <v>241</v>
      </c>
      <c r="B12" s="199" t="s">
        <v>122</v>
      </c>
      <c r="C12" s="199" t="s">
        <v>157</v>
      </c>
      <c r="D12" s="204">
        <v>863362.8</v>
      </c>
      <c r="E12" s="199" t="s">
        <v>37</v>
      </c>
      <c r="G12" s="560" t="s">
        <v>160</v>
      </c>
      <c r="H12" s="560" t="s">
        <v>160</v>
      </c>
      <c r="I12" s="560" t="s">
        <v>161</v>
      </c>
    </row>
    <row r="13" spans="1:9">
      <c r="A13" s="199" t="s">
        <v>242</v>
      </c>
      <c r="B13" s="199" t="s">
        <v>122</v>
      </c>
      <c r="C13" s="199" t="s">
        <v>158</v>
      </c>
      <c r="D13" s="204">
        <v>971455.86</v>
      </c>
      <c r="E13" s="199" t="s">
        <v>37</v>
      </c>
      <c r="G13" s="560" t="s">
        <v>160</v>
      </c>
      <c r="H13" s="560" t="s">
        <v>160</v>
      </c>
      <c r="I13" s="560" t="s">
        <v>161</v>
      </c>
    </row>
    <row r="14" spans="1:9">
      <c r="A14" s="199" t="s">
        <v>243</v>
      </c>
      <c r="B14" s="199" t="s">
        <v>122</v>
      </c>
      <c r="C14" s="199" t="s">
        <v>119</v>
      </c>
      <c r="D14" s="204">
        <v>2474906.94</v>
      </c>
      <c r="E14" s="199" t="s">
        <v>37</v>
      </c>
      <c r="G14" s="560" t="s">
        <v>160</v>
      </c>
      <c r="H14" s="560" t="s">
        <v>160</v>
      </c>
      <c r="I14" s="560" t="s">
        <v>161</v>
      </c>
    </row>
    <row r="15" spans="1:9">
      <c r="A15" s="199" t="s">
        <v>244</v>
      </c>
      <c r="B15" s="199" t="s">
        <v>122</v>
      </c>
      <c r="C15" s="199" t="s">
        <v>120</v>
      </c>
      <c r="D15" s="204">
        <v>2398542.69</v>
      </c>
      <c r="E15" s="199" t="s">
        <v>37</v>
      </c>
      <c r="G15" s="560" t="s">
        <v>160</v>
      </c>
      <c r="H15" s="560" t="s">
        <v>160</v>
      </c>
      <c r="I15" s="560" t="s">
        <v>161</v>
      </c>
    </row>
    <row r="16" spans="1:9">
      <c r="A16" s="199" t="s">
        <v>245</v>
      </c>
      <c r="B16" s="199" t="s">
        <v>122</v>
      </c>
      <c r="C16" s="199" t="s">
        <v>159</v>
      </c>
      <c r="D16" s="204">
        <v>618338.59</v>
      </c>
      <c r="E16" s="199" t="s">
        <v>37</v>
      </c>
      <c r="G16" s="560" t="s">
        <v>160</v>
      </c>
      <c r="H16" s="560" t="s">
        <v>161</v>
      </c>
      <c r="I16" s="560" t="s">
        <v>160</v>
      </c>
    </row>
    <row r="17" spans="1:9">
      <c r="A17" s="203"/>
      <c r="B17" s="203"/>
      <c r="D17" s="204"/>
    </row>
    <row r="18" spans="1:9">
      <c r="A18" s="208" t="s">
        <v>123</v>
      </c>
      <c r="B18" s="208"/>
      <c r="C18" s="208"/>
      <c r="D18" s="296"/>
      <c r="E18" s="208"/>
    </row>
    <row r="19" spans="1:9">
      <c r="A19" s="199" t="s">
        <v>122</v>
      </c>
      <c r="C19" s="199" t="s">
        <v>129</v>
      </c>
      <c r="D19" s="204">
        <f>SUM(D12:D14,D15:D16)</f>
        <v>7326606.879999999</v>
      </c>
      <c r="G19" s="560"/>
      <c r="H19" s="560"/>
      <c r="I19" s="560"/>
    </row>
    <row r="20" spans="1:9">
      <c r="D20" s="204"/>
      <c r="G20" s="560"/>
      <c r="H20" s="560"/>
      <c r="I20" s="560"/>
    </row>
    <row r="21" spans="1:9">
      <c r="D21" s="204"/>
      <c r="G21" s="560"/>
      <c r="H21" s="560"/>
      <c r="I21" s="560"/>
    </row>
    <row r="22" spans="1:9" ht="15.75" thickBot="1">
      <c r="D22" s="297">
        <f>-D19</f>
        <v>-7326606.879999999</v>
      </c>
      <c r="G22" s="560"/>
      <c r="H22" s="560"/>
      <c r="I22" s="560"/>
    </row>
    <row r="23" spans="1:9" ht="15.75" thickTop="1"/>
  </sheetData>
  <mergeCells count="5">
    <mergeCell ref="A8:C8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H18"/>
  <sheetViews>
    <sheetView zoomScaleNormal="100" workbookViewId="0">
      <selection activeCell="V23" sqref="V23"/>
    </sheetView>
  </sheetViews>
  <sheetFormatPr defaultRowHeight="15"/>
  <cols>
    <col min="1" max="1" width="27.33203125" style="199" customWidth="1"/>
    <col min="2" max="2" width="72" style="199" bestFit="1" customWidth="1"/>
    <col min="3" max="3" width="7.1640625" style="199" customWidth="1"/>
    <col min="4" max="4" width="18.1640625" style="199" customWidth="1"/>
    <col min="5" max="6" width="14.83203125" style="199" customWidth="1"/>
    <col min="7" max="7" width="1.6640625" style="199" customWidth="1"/>
    <col min="8" max="8" width="16.83203125" style="199" customWidth="1"/>
    <col min="9" max="9" width="9.33203125" style="199"/>
    <col min="10" max="10" width="17.6640625" style="199" bestFit="1" customWidth="1"/>
    <col min="11" max="16384" width="9.33203125" style="199"/>
  </cols>
  <sheetData>
    <row r="1" spans="1:8">
      <c r="B1" s="597" t="s">
        <v>53</v>
      </c>
      <c r="C1" s="597"/>
      <c r="D1" s="597"/>
      <c r="E1" s="597"/>
    </row>
    <row r="2" spans="1:8">
      <c r="B2" s="597" t="s">
        <v>223</v>
      </c>
      <c r="C2" s="597"/>
      <c r="D2" s="597"/>
      <c r="E2" s="597"/>
    </row>
    <row r="3" spans="1:8">
      <c r="B3" s="608" t="s">
        <v>250</v>
      </c>
      <c r="C3" s="608"/>
      <c r="D3" s="608"/>
      <c r="E3" s="608"/>
    </row>
    <row r="4" spans="1:8">
      <c r="B4" s="597" t="s">
        <v>55</v>
      </c>
      <c r="C4" s="597"/>
      <c r="D4" s="597"/>
      <c r="E4" s="597"/>
    </row>
    <row r="7" spans="1:8">
      <c r="A7" s="88" t="s">
        <v>33</v>
      </c>
      <c r="B7" s="89" t="s">
        <v>180</v>
      </c>
      <c r="D7" s="299">
        <f>+EstimatedBalances!D7</f>
        <v>44074</v>
      </c>
      <c r="E7" s="299">
        <f>+EstimatedBalances!E7</f>
        <v>44104</v>
      </c>
      <c r="F7" s="299">
        <f>+EstimatedBalances!F7</f>
        <v>44135</v>
      </c>
      <c r="G7" s="299"/>
      <c r="H7" s="313" t="s">
        <v>43</v>
      </c>
    </row>
    <row r="8" spans="1:8">
      <c r="A8" s="88" t="s">
        <v>34</v>
      </c>
      <c r="D8" s="571">
        <v>3.4299999999999997E-2</v>
      </c>
      <c r="E8" s="571">
        <v>3.4299999999999997E-2</v>
      </c>
      <c r="F8" s="571">
        <v>3.4299999999999997E-2</v>
      </c>
      <c r="G8" s="300"/>
      <c r="H8" s="89" t="s">
        <v>45</v>
      </c>
    </row>
    <row r="9" spans="1:8">
      <c r="A9" s="35" t="s">
        <v>46</v>
      </c>
      <c r="B9" s="36" t="s">
        <v>0</v>
      </c>
      <c r="D9" s="301">
        <f>ROUND(D8/365*31,6)</f>
        <v>2.9129999999999998E-3</v>
      </c>
      <c r="E9" s="301">
        <f>ROUND(E8/365*30,6)</f>
        <v>2.8189999999999999E-3</v>
      </c>
      <c r="F9" s="301">
        <f>ROUND(F8/365*31,6)</f>
        <v>2.9129999999999998E-3</v>
      </c>
      <c r="G9" s="301"/>
      <c r="H9" s="572">
        <v>44135</v>
      </c>
    </row>
    <row r="10" spans="1:8">
      <c r="A10" s="199" t="str">
        <f>+'Balances at 7-31-2020'!A12</f>
        <v>47WA.1823.20430</v>
      </c>
      <c r="B10" s="199" t="str">
        <f>+'Balances at 7-31-2020'!C12</f>
        <v xml:space="preserve">Commercial Conservation Program </v>
      </c>
      <c r="D10" s="99">
        <f>ROUND('Balances at 7-31-2020'!D12*D$9,2)</f>
        <v>2514.98</v>
      </c>
      <c r="E10" s="99">
        <f>ROUND(EstimatedBalances!D11*E$9,2)</f>
        <v>2440.91</v>
      </c>
      <c r="F10" s="99">
        <f>ROUND(EstimatedBalances!E11*F$9,2)</f>
        <v>2529.41</v>
      </c>
      <c r="H10" s="289">
        <f>+D10+E10+F10</f>
        <v>7485.2999999999993</v>
      </c>
    </row>
    <row r="11" spans="1:8">
      <c r="A11" s="199" t="str">
        <f>+'Balances at 7-31-2020'!A13</f>
        <v>47WA.1823.20431</v>
      </c>
      <c r="B11" s="199" t="str">
        <f>+'Balances at 7-31-2020'!C13</f>
        <v>Low Income Weatherization Program</v>
      </c>
      <c r="D11" s="99">
        <f>ROUND('Balances at 7-31-2020'!D13*D$9,2)</f>
        <v>2829.85</v>
      </c>
      <c r="E11" s="99">
        <f>ROUND(EstimatedBalances!D12*E$9,2)</f>
        <v>2746.51</v>
      </c>
      <c r="F11" s="99">
        <f>ROUND(EstimatedBalances!E12*F$9,2)</f>
        <v>2846.09</v>
      </c>
      <c r="H11" s="289">
        <f t="shared" ref="H11:H14" si="0">+D11+E11+F11</f>
        <v>8422.4500000000007</v>
      </c>
    </row>
    <row r="12" spans="1:8">
      <c r="A12" s="199" t="str">
        <f>+'Balances at 7-31-2020'!A14</f>
        <v>47WA.1823.20444</v>
      </c>
      <c r="B12" s="199" t="str">
        <f>+'Balances at 7-31-2020'!C14</f>
        <v>Washington Conservation Administration &amp; Program Delivery Fees</v>
      </c>
      <c r="D12" s="99">
        <f>ROUND('Balances at 7-31-2020'!D14*D$9,2)</f>
        <v>7209.4</v>
      </c>
      <c r="E12" s="99">
        <f>ROUND(EstimatedBalances!D13*E$9,2)</f>
        <v>6997.09</v>
      </c>
      <c r="F12" s="99">
        <f>ROUND(EstimatedBalances!E13*F$9,2)</f>
        <v>7250.79</v>
      </c>
      <c r="H12" s="289">
        <f t="shared" si="0"/>
        <v>21457.279999999999</v>
      </c>
    </row>
    <row r="13" spans="1:8">
      <c r="A13" s="199" t="str">
        <f>+'Balances at 7-31-2020'!A15</f>
        <v>47WA.1823.20449</v>
      </c>
      <c r="B13" s="199" t="str">
        <f>+'Balances at 7-31-2020'!C15</f>
        <v xml:space="preserve">Washington Residential Conservation Program </v>
      </c>
      <c r="D13" s="99">
        <f>ROUND('Balances at 7-31-2020'!D15*D$9,2)</f>
        <v>6986.95</v>
      </c>
      <c r="E13" s="99">
        <f>ROUND(EstimatedBalances!D14*E$9,2)</f>
        <v>6781.19</v>
      </c>
      <c r="F13" s="99">
        <f>ROUND(EstimatedBalances!E14*F$9,2)</f>
        <v>7027.06</v>
      </c>
      <c r="H13" s="289">
        <f t="shared" si="0"/>
        <v>20795.2</v>
      </c>
    </row>
    <row r="14" spans="1:8">
      <c r="A14" s="199" t="str">
        <f>+'Balances at 7-31-2020'!A16</f>
        <v>47WA.1823.20478</v>
      </c>
      <c r="B14" s="199" t="str">
        <f>+'Balances at 7-31-2020'!C16</f>
        <v>Consolidated Technical Adjustments - Conservation</v>
      </c>
      <c r="D14" s="99">
        <f>ROUND('Balances at 7-31-2020'!D16*D$9,2)</f>
        <v>1801.22</v>
      </c>
      <c r="E14" s="99">
        <f>ROUND(EstimatedBalances!D15*E$9,2)</f>
        <v>1142.26</v>
      </c>
      <c r="F14" s="99">
        <f>ROUND(EstimatedBalances!E15*F$9,2)</f>
        <v>345.11</v>
      </c>
      <c r="H14" s="289">
        <f t="shared" si="0"/>
        <v>3288.59</v>
      </c>
    </row>
    <row r="16" spans="1:8" ht="15.75" thickBot="1">
      <c r="A16" s="200" t="s">
        <v>43</v>
      </c>
      <c r="D16" s="314">
        <f>SUM(D10:D15)</f>
        <v>21342.400000000001</v>
      </c>
      <c r="E16" s="314">
        <f t="shared" ref="E16:H16" si="1">SUM(E10:E15)</f>
        <v>20107.96</v>
      </c>
      <c r="F16" s="314">
        <f t="shared" si="1"/>
        <v>19998.460000000003</v>
      </c>
      <c r="G16" s="314">
        <f t="shared" si="1"/>
        <v>0</v>
      </c>
      <c r="H16" s="314">
        <f t="shared" si="1"/>
        <v>61448.819999999992</v>
      </c>
    </row>
    <row r="17" spans="1:8" ht="15.75" thickTop="1"/>
    <row r="18" spans="1:8">
      <c r="A18" s="199" t="str">
        <f>+'Balances at 7-31-2020'!A19</f>
        <v>CORE Conservation</v>
      </c>
      <c r="B18" s="199" t="str">
        <f>+'Balances at 7-31-2020'!C19</f>
        <v>Consolidation of accounts related to core conservation.</v>
      </c>
      <c r="D18" s="101">
        <f>+D16</f>
        <v>21342.400000000001</v>
      </c>
      <c r="E18" s="101">
        <f t="shared" ref="E18:H18" si="2">+E16</f>
        <v>20107.96</v>
      </c>
      <c r="F18" s="101">
        <f t="shared" si="2"/>
        <v>19998.460000000003</v>
      </c>
      <c r="G18" s="101">
        <f t="shared" si="2"/>
        <v>0</v>
      </c>
      <c r="H18" s="101">
        <f t="shared" si="2"/>
        <v>61448.819999999992</v>
      </c>
    </row>
  </sheetData>
  <mergeCells count="4">
    <mergeCell ref="B1:E1"/>
    <mergeCell ref="B2:E2"/>
    <mergeCell ref="B3:E3"/>
    <mergeCell ref="B4:E4"/>
  </mergeCells>
  <phoneticPr fontId="23" type="noConversion"/>
  <printOptions horizontalCentered="1"/>
  <pageMargins left="0.25" right="0.25" top="1" bottom="1" header="0.5" footer="0.5"/>
  <pageSetup scale="98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H25"/>
  <sheetViews>
    <sheetView workbookViewId="0">
      <selection activeCell="V23" sqref="V23"/>
    </sheetView>
  </sheetViews>
  <sheetFormatPr defaultRowHeight="15"/>
  <cols>
    <col min="1" max="1" width="22.1640625" style="199" customWidth="1"/>
    <col min="2" max="2" width="11.1640625" style="199" bestFit="1" customWidth="1"/>
    <col min="3" max="3" width="12.1640625" style="199" customWidth="1"/>
    <col min="4" max="4" width="17.6640625" style="199" customWidth="1"/>
    <col min="5" max="5" width="17" style="199" customWidth="1"/>
    <col min="6" max="6" width="17.33203125" style="199" customWidth="1"/>
    <col min="7" max="7" width="20" style="199" customWidth="1"/>
    <col min="8" max="8" width="12.6640625" style="199" customWidth="1"/>
    <col min="9" max="16384" width="9.33203125" style="199"/>
  </cols>
  <sheetData>
    <row r="1" spans="1:8">
      <c r="B1" s="597" t="s">
        <v>53</v>
      </c>
      <c r="C1" s="597"/>
      <c r="D1" s="597"/>
      <c r="E1" s="597"/>
    </row>
    <row r="2" spans="1:8">
      <c r="A2" s="609" t="s">
        <v>256</v>
      </c>
      <c r="B2" s="609"/>
      <c r="C2" s="609"/>
      <c r="D2" s="609"/>
      <c r="E2" s="609"/>
      <c r="F2" s="609"/>
    </row>
    <row r="3" spans="1:8">
      <c r="A3" s="3"/>
      <c r="B3" s="608" t="s">
        <v>250</v>
      </c>
      <c r="C3" s="608"/>
      <c r="D3" s="608"/>
      <c r="E3" s="608"/>
    </row>
    <row r="4" spans="1:8">
      <c r="B4" s="597" t="s">
        <v>55</v>
      </c>
      <c r="C4" s="597"/>
      <c r="D4" s="597"/>
      <c r="E4" s="597"/>
      <c r="G4" s="37"/>
      <c r="H4" s="37"/>
    </row>
    <row r="5" spans="1:8">
      <c r="A5" s="209"/>
      <c r="F5" s="38"/>
      <c r="G5" s="6"/>
      <c r="H5" s="39"/>
    </row>
    <row r="6" spans="1:8">
      <c r="A6" s="3"/>
      <c r="F6" s="38"/>
      <c r="G6" s="6"/>
      <c r="H6" s="39"/>
    </row>
    <row r="7" spans="1:8">
      <c r="F7" s="38"/>
      <c r="H7" s="39"/>
    </row>
    <row r="8" spans="1:8">
      <c r="D8" s="313" t="s">
        <v>42</v>
      </c>
      <c r="E8" s="313" t="s">
        <v>42</v>
      </c>
      <c r="F8" s="313" t="s">
        <v>42</v>
      </c>
      <c r="H8" s="39"/>
    </row>
    <row r="9" spans="1:8">
      <c r="D9" s="568">
        <v>44074</v>
      </c>
      <c r="E9" s="568">
        <v>44104</v>
      </c>
      <c r="F9" s="568">
        <v>44135</v>
      </c>
      <c r="G9" s="6"/>
      <c r="H9" s="39"/>
    </row>
    <row r="10" spans="1:8">
      <c r="A10" s="201" t="s">
        <v>1</v>
      </c>
      <c r="D10" s="4">
        <f>+'Test Period Volumes'!C20+'Test Period Volumes'!D20+'Test Period Volumes'!E20+'Test Period Volumes'!F20</f>
        <v>8428302.4896618407</v>
      </c>
      <c r="E10" s="4">
        <f>+'Test Period Volumes'!C21+'Test Period Volumes'!D21+'Test Period Volumes'!E21+'Test Period Volumes'!F21</f>
        <v>11252985.075626817</v>
      </c>
      <c r="F10" s="4">
        <f>+'Test Period Volumes'!C22+'Test Period Volumes'!D22+'Test Period Volumes'!E22+'Test Period Volumes'!F22</f>
        <v>17766097.097100325</v>
      </c>
      <c r="G10" s="6"/>
      <c r="H10" s="38"/>
    </row>
    <row r="11" spans="1:8">
      <c r="A11" s="201" t="s">
        <v>2</v>
      </c>
      <c r="D11" s="4">
        <f>+'Test Period Volumes'!I20</f>
        <v>8542946</v>
      </c>
      <c r="E11" s="4">
        <f>+'Test Period Volumes'!I21</f>
        <v>11441563</v>
      </c>
      <c r="F11" s="4">
        <f>+'Test Period Volumes'!I22</f>
        <v>18043368</v>
      </c>
      <c r="G11" s="6"/>
      <c r="H11" s="38"/>
    </row>
    <row r="12" spans="1:8">
      <c r="A12" s="201" t="s">
        <v>3</v>
      </c>
      <c r="D12" s="4">
        <f>+'Test Period Volumes'!I20+'Test Period Volumes'!H20</f>
        <v>78005009</v>
      </c>
      <c r="E12" s="4">
        <f>+'Test Period Volumes'!H21+'Test Period Volumes'!I21</f>
        <v>77873595</v>
      </c>
      <c r="F12" s="4">
        <f>+'Test Period Volumes'!H22+'Test Period Volumes'!I22</f>
        <v>65083823</v>
      </c>
      <c r="G12" s="6"/>
      <c r="H12" s="40"/>
    </row>
    <row r="15" spans="1:8">
      <c r="C15" s="569">
        <v>43770</v>
      </c>
      <c r="D15" s="313" t="s">
        <v>42</v>
      </c>
      <c r="E15" s="313" t="s">
        <v>42</v>
      </c>
      <c r="F15" s="313" t="s">
        <v>42</v>
      </c>
      <c r="G15" s="100" t="s">
        <v>42</v>
      </c>
    </row>
    <row r="16" spans="1:8">
      <c r="C16" s="293" t="s">
        <v>27</v>
      </c>
      <c r="D16" s="568">
        <f>+D9</f>
        <v>44074</v>
      </c>
      <c r="E16" s="568">
        <f>+E9</f>
        <v>44104</v>
      </c>
      <c r="F16" s="568">
        <f>+F9</f>
        <v>44135</v>
      </c>
      <c r="G16" s="100" t="s">
        <v>41</v>
      </c>
    </row>
    <row r="17" spans="1:7">
      <c r="C17" s="294" t="s">
        <v>32</v>
      </c>
      <c r="D17" s="91" t="s">
        <v>11</v>
      </c>
      <c r="E17" s="91" t="s">
        <v>11</v>
      </c>
      <c r="F17" s="91" t="s">
        <v>11</v>
      </c>
      <c r="G17" s="570">
        <v>44135</v>
      </c>
    </row>
    <row r="18" spans="1:7">
      <c r="A18" s="199" t="str">
        <f>+'Balances at 7-31-2020'!A12</f>
        <v>47WA.1823.20430</v>
      </c>
      <c r="B18" s="199" t="str">
        <f>+'Balances at 7-31-2020'!E12</f>
        <v>Core</v>
      </c>
      <c r="C18" s="104"/>
      <c r="D18" s="99">
        <f t="shared" ref="D18:E20" si="0">+$C18*D$11</f>
        <v>0</v>
      </c>
      <c r="E18" s="99">
        <f t="shared" si="0"/>
        <v>0</v>
      </c>
      <c r="F18" s="99"/>
      <c r="G18" s="99">
        <f>SUM(D18:F18)</f>
        <v>0</v>
      </c>
    </row>
    <row r="19" spans="1:7">
      <c r="A19" s="199" t="str">
        <f>+'Balances at 7-31-2020'!A13</f>
        <v>47WA.1823.20431</v>
      </c>
      <c r="B19" s="199" t="str">
        <f>+'Balances at 7-31-2020'!E13</f>
        <v>Core</v>
      </c>
      <c r="C19" s="104"/>
      <c r="D19" s="99">
        <f t="shared" si="0"/>
        <v>0</v>
      </c>
      <c r="E19" s="99">
        <f t="shared" si="0"/>
        <v>0</v>
      </c>
      <c r="F19" s="99"/>
      <c r="G19" s="99">
        <f>SUM(D19:F19)</f>
        <v>0</v>
      </c>
    </row>
    <row r="20" spans="1:7">
      <c r="A20" s="199" t="str">
        <f>+'Balances at 7-31-2020'!A14</f>
        <v>47WA.1823.20444</v>
      </c>
      <c r="B20" s="199" t="str">
        <f>+'Balances at 7-31-2020'!E14</f>
        <v>Core</v>
      </c>
      <c r="C20" s="104"/>
      <c r="D20" s="99">
        <f>+$C20*D$11</f>
        <v>0</v>
      </c>
      <c r="E20" s="99">
        <f t="shared" si="0"/>
        <v>0</v>
      </c>
      <c r="F20" s="99"/>
      <c r="G20" s="99">
        <f>SUM(D20:F20)</f>
        <v>0</v>
      </c>
    </row>
    <row r="21" spans="1:7">
      <c r="A21" s="199" t="str">
        <f>+'Balances at 7-31-2020'!A15</f>
        <v>47WA.1823.20449</v>
      </c>
      <c r="B21" s="199" t="str">
        <f>+'Balances at 7-31-2020'!E15</f>
        <v>Core</v>
      </c>
      <c r="C21" s="104"/>
      <c r="D21" s="99">
        <f>+$C21*D$12</f>
        <v>0</v>
      </c>
      <c r="E21" s="99">
        <f>+$C21*E$12</f>
        <v>0</v>
      </c>
      <c r="F21" s="99"/>
      <c r="G21" s="99">
        <f>SUM(D21:F21)</f>
        <v>0</v>
      </c>
    </row>
    <row r="22" spans="1:7">
      <c r="A22" s="199" t="str">
        <f>+'Balances at 7-31-2020'!A16</f>
        <v>47WA.1823.20478</v>
      </c>
      <c r="B22" s="199" t="str">
        <f>+'Balances at 7-31-2020'!E16</f>
        <v>Core</v>
      </c>
      <c r="C22" s="104">
        <v>-2.5159999999999998E-2</v>
      </c>
      <c r="D22" s="99">
        <f>+$C22*D$11</f>
        <v>-214940.52135999998</v>
      </c>
      <c r="E22" s="99">
        <f>+$C22*E$11</f>
        <v>-287869.72508</v>
      </c>
      <c r="F22" s="99">
        <f>+$C22*F$11</f>
        <v>-453971.13887999998</v>
      </c>
      <c r="G22" s="99">
        <f>SUM(D22:F22)</f>
        <v>-956781.38532</v>
      </c>
    </row>
    <row r="23" spans="1:7" ht="15.75" thickBot="1">
      <c r="A23" s="200" t="s">
        <v>49</v>
      </c>
      <c r="C23" s="200"/>
      <c r="D23" s="111">
        <f>SUM(D18:D22)</f>
        <v>-214940.52135999998</v>
      </c>
      <c r="E23" s="111">
        <f>SUM(E18:E22)</f>
        <v>-287869.72508</v>
      </c>
      <c r="F23" s="111">
        <f>SUM(F18:F22)</f>
        <v>-453971.13887999998</v>
      </c>
      <c r="G23" s="111">
        <f>SUM(G18:G22)</f>
        <v>-956781.38532</v>
      </c>
    </row>
    <row r="24" spans="1:7" ht="15.75" thickTop="1"/>
    <row r="25" spans="1:7">
      <c r="A25" s="199" t="s">
        <v>122</v>
      </c>
      <c r="D25" s="101">
        <f>+D23</f>
        <v>-214940.52135999998</v>
      </c>
      <c r="E25" s="101">
        <f>+E23</f>
        <v>-287869.72508</v>
      </c>
      <c r="F25" s="101">
        <f t="shared" ref="F25" si="1">+F23</f>
        <v>-453971.13887999998</v>
      </c>
      <c r="G25" s="101">
        <f>+G23</f>
        <v>-956781.38532</v>
      </c>
    </row>
  </sheetData>
  <mergeCells count="4">
    <mergeCell ref="B1:E1"/>
    <mergeCell ref="A2:F2"/>
    <mergeCell ref="B3:E3"/>
    <mergeCell ref="B4:E4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pageSetUpPr fitToPage="1"/>
  </sheetPr>
  <dimension ref="A1:H18"/>
  <sheetViews>
    <sheetView zoomScaleNormal="100" workbookViewId="0">
      <selection activeCell="V23" sqref="V23"/>
    </sheetView>
  </sheetViews>
  <sheetFormatPr defaultRowHeight="15"/>
  <cols>
    <col min="1" max="1" width="23.33203125" style="199" customWidth="1"/>
    <col min="2" max="2" width="70.83203125" style="199" customWidth="1"/>
    <col min="3" max="3" width="19.6640625" style="199" customWidth="1"/>
    <col min="4" max="6" width="19.33203125" style="199" customWidth="1"/>
    <col min="7" max="7" width="2.6640625" style="199" customWidth="1"/>
    <col min="8" max="8" width="18.6640625" style="199" customWidth="1"/>
    <col min="9" max="16384" width="9.33203125" style="199"/>
  </cols>
  <sheetData>
    <row r="1" spans="1:8">
      <c r="B1" s="597" t="s">
        <v>53</v>
      </c>
      <c r="C1" s="597"/>
      <c r="D1" s="597"/>
      <c r="E1" s="597"/>
      <c r="F1" s="597"/>
    </row>
    <row r="2" spans="1:8">
      <c r="B2" s="612" t="s">
        <v>255</v>
      </c>
      <c r="C2" s="612"/>
      <c r="D2" s="612"/>
      <c r="E2" s="612"/>
      <c r="F2" s="612"/>
    </row>
    <row r="3" spans="1:8">
      <c r="B3" s="608" t="s">
        <v>250</v>
      </c>
      <c r="C3" s="608"/>
      <c r="D3" s="608"/>
      <c r="E3" s="608"/>
      <c r="F3" s="608"/>
    </row>
    <row r="4" spans="1:8">
      <c r="B4" s="597" t="s">
        <v>55</v>
      </c>
      <c r="C4" s="597"/>
      <c r="D4" s="597"/>
      <c r="E4" s="597"/>
      <c r="F4" s="597"/>
    </row>
    <row r="5" spans="1:8">
      <c r="A5" s="610"/>
      <c r="B5" s="611"/>
    </row>
    <row r="7" spans="1:8">
      <c r="C7" s="573">
        <v>44043</v>
      </c>
      <c r="D7" s="573">
        <v>44074</v>
      </c>
      <c r="E7" s="573">
        <v>44104</v>
      </c>
      <c r="F7" s="573">
        <v>44135</v>
      </c>
      <c r="G7" s="568"/>
      <c r="H7" s="574" t="s">
        <v>131</v>
      </c>
    </row>
    <row r="8" spans="1:8">
      <c r="A8" s="3" t="s">
        <v>29</v>
      </c>
      <c r="B8" s="89" t="s">
        <v>180</v>
      </c>
      <c r="C8" s="293" t="s">
        <v>28</v>
      </c>
      <c r="D8" s="293" t="s">
        <v>28</v>
      </c>
      <c r="E8" s="293" t="s">
        <v>28</v>
      </c>
      <c r="F8" s="293" t="s">
        <v>28</v>
      </c>
      <c r="G8" s="293"/>
      <c r="H8" s="293" t="s">
        <v>132</v>
      </c>
    </row>
    <row r="9" spans="1:8">
      <c r="A9" s="42" t="s">
        <v>31</v>
      </c>
      <c r="C9" s="293" t="s">
        <v>30</v>
      </c>
      <c r="D9" s="293" t="s">
        <v>30</v>
      </c>
      <c r="E9" s="293" t="s">
        <v>30</v>
      </c>
      <c r="F9" s="293" t="s">
        <v>30</v>
      </c>
      <c r="G9" s="293"/>
      <c r="H9" s="573">
        <v>44135</v>
      </c>
    </row>
    <row r="10" spans="1:8">
      <c r="C10" s="42" t="s">
        <v>31</v>
      </c>
      <c r="D10" s="42" t="s">
        <v>31</v>
      </c>
      <c r="E10" s="42" t="s">
        <v>31</v>
      </c>
      <c r="F10" s="42"/>
      <c r="G10" s="42"/>
      <c r="H10" s="42"/>
    </row>
    <row r="11" spans="1:8">
      <c r="A11" s="199" t="str">
        <f>+'Balances at 7-31-2020'!A12</f>
        <v>47WA.1823.20430</v>
      </c>
      <c r="B11" s="199" t="str">
        <f>+'Balances at 7-31-2020'!C12</f>
        <v xml:space="preserve">Commercial Conservation Program </v>
      </c>
      <c r="C11" s="289">
        <f>+'Balances at 7-31-2020'!D12</f>
        <v>863362.8</v>
      </c>
      <c r="D11" s="298">
        <f>+C11+'Int calc thru 10-31-2020'!D10+'Amort Calc thru 10-31-2020'!D18</f>
        <v>865877.78</v>
      </c>
      <c r="E11" s="298">
        <f>+D11+'Int calc thru 10-31-2020'!E10+'Amort Calc thru 10-31-2020'!E18</f>
        <v>868318.69000000006</v>
      </c>
      <c r="F11" s="298">
        <f>+E11+'Int calc thru 10-31-2020'!F10+'Amort Calc thru 10-31-2020'!F18</f>
        <v>870848.10000000009</v>
      </c>
      <c r="H11" s="298">
        <f>+F11-C11</f>
        <v>7485.3000000000466</v>
      </c>
    </row>
    <row r="12" spans="1:8">
      <c r="A12" s="199" t="str">
        <f>+'Balances at 7-31-2020'!A13</f>
        <v>47WA.1823.20431</v>
      </c>
      <c r="B12" s="199" t="str">
        <f>+'Balances at 7-31-2020'!C13</f>
        <v>Low Income Weatherization Program</v>
      </c>
      <c r="C12" s="289">
        <f>+'Balances at 7-31-2020'!D13</f>
        <v>971455.86</v>
      </c>
      <c r="D12" s="298">
        <f>+C12+'Int calc thru 10-31-2020'!D11+'Amort Calc thru 10-31-2020'!D19</f>
        <v>974285.71</v>
      </c>
      <c r="E12" s="298">
        <f>+D12+'Int calc thru 10-31-2020'!E11+'Amort Calc thru 10-31-2020'!E19</f>
        <v>977032.22</v>
      </c>
      <c r="F12" s="298">
        <f>+E12+'Int calc thru 10-31-2020'!F11+'Amort Calc thru 10-31-2020'!F19</f>
        <v>979878.30999999994</v>
      </c>
      <c r="G12" s="298"/>
      <c r="H12" s="298">
        <f>+F12-C12</f>
        <v>8422.4499999999534</v>
      </c>
    </row>
    <row r="13" spans="1:8">
      <c r="A13" s="199" t="str">
        <f>+'Balances at 7-31-2020'!A14</f>
        <v>47WA.1823.20444</v>
      </c>
      <c r="B13" s="199" t="str">
        <f>+'Balances at 7-31-2020'!C14</f>
        <v>Washington Conservation Administration &amp; Program Delivery Fees</v>
      </c>
      <c r="C13" s="289">
        <f>+'Balances at 7-31-2020'!D14</f>
        <v>2474906.94</v>
      </c>
      <c r="D13" s="298">
        <f>+C13+'Int calc thru 10-31-2020'!D12+'Amort Calc thru 10-31-2020'!D20</f>
        <v>2482116.34</v>
      </c>
      <c r="E13" s="298">
        <f>+D13+'Int calc thru 10-31-2020'!E12+'Amort Calc thru 10-31-2020'!E20</f>
        <v>2489113.4299999997</v>
      </c>
      <c r="F13" s="298">
        <f>+E13+'Int calc thru 10-31-2020'!F12+'Amort Calc thru 10-31-2020'!F20</f>
        <v>2496364.2199999997</v>
      </c>
      <c r="G13" s="298"/>
      <c r="H13" s="298">
        <f>+F13-C13</f>
        <v>21457.279999999795</v>
      </c>
    </row>
    <row r="14" spans="1:8">
      <c r="A14" s="199" t="str">
        <f>+'Balances at 7-31-2020'!A15</f>
        <v>47WA.1823.20449</v>
      </c>
      <c r="B14" s="199" t="str">
        <f>+'Balances at 7-31-2020'!C15</f>
        <v xml:space="preserve">Washington Residential Conservation Program </v>
      </c>
      <c r="C14" s="289">
        <f>+'Balances at 7-31-2020'!D15</f>
        <v>2398542.69</v>
      </c>
      <c r="D14" s="298">
        <f>+C14+'Int calc thru 10-31-2020'!D13+'Amort Calc thru 10-31-2020'!D21</f>
        <v>2405529.64</v>
      </c>
      <c r="E14" s="298">
        <f>+D14+'Int calc thru 10-31-2020'!E13+'Amort Calc thru 10-31-2020'!E21</f>
        <v>2412310.83</v>
      </c>
      <c r="F14" s="298">
        <f>+E14+'Int calc thru 10-31-2020'!F13+'Amort Calc thru 10-31-2020'!F21</f>
        <v>2419337.89</v>
      </c>
      <c r="G14" s="298"/>
      <c r="H14" s="298">
        <f>+F14-C14</f>
        <v>20795.200000000186</v>
      </c>
    </row>
    <row r="15" spans="1:8">
      <c r="A15" s="199" t="str">
        <f>+'Balances at 7-31-2020'!A16</f>
        <v>47WA.1823.20478</v>
      </c>
      <c r="B15" s="199" t="str">
        <f>+'Balances at 7-31-2020'!C16</f>
        <v>Consolidated Technical Adjustments - Conservation</v>
      </c>
      <c r="C15" s="290">
        <f>+'Balances at 7-31-2020'!D16</f>
        <v>618338.59</v>
      </c>
      <c r="D15" s="298">
        <f>+C15+'Int calc thru 10-31-2020'!D14+'Amort Calc thru 10-31-2020'!D22</f>
        <v>405199.28863999993</v>
      </c>
      <c r="E15" s="298">
        <f>+D15+'Int calc thru 10-31-2020'!E14+'Amort Calc thru 10-31-2020'!E22</f>
        <v>118471.82355999993</v>
      </c>
      <c r="F15" s="298">
        <f>+E15+'Int calc thru 10-31-2020'!F14+'Amort Calc thru 10-31-2020'!F22</f>
        <v>-335154.20532000007</v>
      </c>
      <c r="G15" s="298"/>
      <c r="H15" s="298">
        <f>+F15-C15</f>
        <v>-953492.79532000003</v>
      </c>
    </row>
    <row r="16" spans="1:8" ht="15.75" thickBot="1">
      <c r="A16" s="293" t="s">
        <v>26</v>
      </c>
      <c r="C16" s="102">
        <f>SUM(C11:C15)</f>
        <v>7326606.879999999</v>
      </c>
      <c r="D16" s="102">
        <f t="shared" ref="D16:G16" si="0">SUM(D11:D15)</f>
        <v>7133008.7586400006</v>
      </c>
      <c r="E16" s="102">
        <f>SUM(E11:E15)</f>
        <v>6865246.9935599994</v>
      </c>
      <c r="F16" s="102">
        <f>SUM(F11:F15)</f>
        <v>6431274.3146799998</v>
      </c>
      <c r="G16" s="102">
        <f t="shared" si="0"/>
        <v>0</v>
      </c>
      <c r="H16" s="102">
        <f>SUM(H11:H15)</f>
        <v>-895332.56532000005</v>
      </c>
    </row>
    <row r="17" spans="1:8" ht="15.75" thickTop="1"/>
    <row r="18" spans="1:8">
      <c r="A18" s="199" t="s">
        <v>122</v>
      </c>
      <c r="C18" s="289">
        <f>+C16</f>
        <v>7326606.879999999</v>
      </c>
      <c r="D18" s="289">
        <f t="shared" ref="D18:H18" si="1">+D16</f>
        <v>7133008.7586400006</v>
      </c>
      <c r="E18" s="289">
        <f t="shared" si="1"/>
        <v>6865246.9935599994</v>
      </c>
      <c r="F18" s="289">
        <f t="shared" si="1"/>
        <v>6431274.3146799998</v>
      </c>
      <c r="G18" s="289"/>
      <c r="H18" s="298">
        <f t="shared" si="1"/>
        <v>-895332.56532000005</v>
      </c>
    </row>
  </sheetData>
  <mergeCells count="5">
    <mergeCell ref="A5:B5"/>
    <mergeCell ref="B1:F1"/>
    <mergeCell ref="B2:F2"/>
    <mergeCell ref="B3:F3"/>
    <mergeCell ref="B4:F4"/>
  </mergeCells>
  <printOptions horizontalCentered="1"/>
  <pageMargins left="0.25" right="0.25" top="1" bottom="1" header="0.5" footer="0.5"/>
  <pageSetup scale="88"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T29"/>
  <sheetViews>
    <sheetView view="pageBreakPreview" topLeftCell="B1" zoomScale="90" zoomScaleNormal="70" zoomScaleSheetLayoutView="90" workbookViewId="0">
      <pane ySplit="7" topLeftCell="A8" activePane="bottomLeft" state="frozen"/>
      <selection activeCell="V23" sqref="V23"/>
      <selection pane="bottomLeft" activeCell="V23" sqref="V23"/>
    </sheetView>
  </sheetViews>
  <sheetFormatPr defaultRowHeight="15"/>
  <cols>
    <col min="1" max="1" width="25.5" style="199" customWidth="1"/>
    <col min="2" max="2" width="79.6640625" style="199" customWidth="1"/>
    <col min="3" max="3" width="11.1640625" style="199" customWidth="1"/>
    <col min="4" max="4" width="3.5" style="199" customWidth="1"/>
    <col min="5" max="5" width="17.1640625" style="199" customWidth="1"/>
    <col min="6" max="6" width="17.33203125" style="199" bestFit="1" customWidth="1"/>
    <col min="7" max="7" width="16" style="199" customWidth="1"/>
    <col min="8" max="11" width="16" style="199" bestFit="1" customWidth="1"/>
    <col min="12" max="12" width="15.1640625" style="199" bestFit="1" customWidth="1"/>
    <col min="13" max="13" width="14" style="199" bestFit="1" customWidth="1"/>
    <col min="14" max="14" width="15.1640625" style="199" bestFit="1" customWidth="1"/>
    <col min="15" max="17" width="14" style="199" bestFit="1" customWidth="1"/>
    <col min="18" max="18" width="15.1640625" style="199" bestFit="1" customWidth="1"/>
    <col min="19" max="19" width="18.83203125" style="199" customWidth="1"/>
    <col min="20" max="20" width="14.5" style="199" customWidth="1"/>
    <col min="21" max="16384" width="9.33203125" style="199"/>
  </cols>
  <sheetData>
    <row r="1" spans="1:20">
      <c r="G1" s="597" t="s">
        <v>53</v>
      </c>
      <c r="H1" s="597"/>
      <c r="I1" s="597"/>
      <c r="J1" s="597"/>
      <c r="K1" s="597"/>
    </row>
    <row r="2" spans="1:20">
      <c r="F2" s="612" t="s">
        <v>257</v>
      </c>
      <c r="G2" s="612"/>
      <c r="H2" s="612"/>
      <c r="I2" s="612"/>
      <c r="J2" s="612"/>
      <c r="K2" s="612"/>
      <c r="L2" s="612"/>
    </row>
    <row r="3" spans="1:20">
      <c r="G3" s="608" t="s">
        <v>250</v>
      </c>
      <c r="H3" s="608"/>
      <c r="I3" s="608"/>
      <c r="J3" s="608"/>
      <c r="K3" s="608"/>
    </row>
    <row r="4" spans="1:20">
      <c r="G4" s="597" t="s">
        <v>55</v>
      </c>
      <c r="H4" s="597"/>
      <c r="I4" s="597"/>
      <c r="J4" s="597"/>
      <c r="K4" s="597"/>
    </row>
    <row r="7" spans="1:20">
      <c r="A7" s="610"/>
      <c r="B7" s="610"/>
    </row>
    <row r="8" spans="1:20">
      <c r="B8" s="200"/>
    </row>
    <row r="9" spans="1:20">
      <c r="B9" s="200" t="s">
        <v>127</v>
      </c>
      <c r="G9" s="613" t="s">
        <v>133</v>
      </c>
      <c r="H9" s="613"/>
      <c r="I9" s="613"/>
    </row>
    <row r="10" spans="1:20" ht="45">
      <c r="A10" s="295"/>
      <c r="B10" s="307" t="s">
        <v>217</v>
      </c>
      <c r="C10" s="206" t="s">
        <v>48</v>
      </c>
      <c r="D10" s="206"/>
      <c r="E10" s="115" t="s">
        <v>124</v>
      </c>
      <c r="F10" s="116" t="s">
        <v>258</v>
      </c>
      <c r="G10" s="575">
        <v>44136</v>
      </c>
      <c r="H10" s="575">
        <v>44166</v>
      </c>
      <c r="I10" s="575">
        <v>44197</v>
      </c>
      <c r="J10" s="575">
        <v>44228</v>
      </c>
      <c r="K10" s="575">
        <v>44256</v>
      </c>
      <c r="L10" s="575">
        <v>44287</v>
      </c>
      <c r="M10" s="575">
        <v>44317</v>
      </c>
      <c r="N10" s="575">
        <v>44348</v>
      </c>
      <c r="O10" s="575">
        <v>44378</v>
      </c>
      <c r="P10" s="575">
        <v>44409</v>
      </c>
      <c r="Q10" s="575">
        <v>44440</v>
      </c>
      <c r="R10" s="575">
        <v>44470</v>
      </c>
      <c r="S10" s="116" t="s">
        <v>172</v>
      </c>
      <c r="T10" s="117" t="s">
        <v>125</v>
      </c>
    </row>
    <row r="11" spans="1:20">
      <c r="A11" s="199" t="str">
        <f>+'Balances at 7-31-2020'!A12</f>
        <v>47WA.1823.20430</v>
      </c>
      <c r="B11" s="199" t="str">
        <f>+'Int calc thru 10-31-2020'!B10</f>
        <v xml:space="preserve">Commercial Conservation Program </v>
      </c>
      <c r="C11" s="199" t="str">
        <f>+'Balances at 7-31-2020'!E12</f>
        <v>Core</v>
      </c>
      <c r="D11" s="199">
        <v>7</v>
      </c>
      <c r="E11" s="302">
        <v>-3.3587025818696387E-3</v>
      </c>
      <c r="F11" s="303">
        <f>+EstimatedBalances!F11</f>
        <v>870848.10000000009</v>
      </c>
      <c r="G11" s="303">
        <f>+E11*'Test Period Volumes'!I23</f>
        <v>-103143.41863221962</v>
      </c>
      <c r="H11" s="303">
        <f>+E11*'Test Period Volumes'!I24</f>
        <v>-142639.49051206122</v>
      </c>
      <c r="I11" s="303">
        <f>+E11*'Test Period Volumes'!I25</f>
        <v>-136831.98474737108</v>
      </c>
      <c r="J11" s="303">
        <f>+E11*'Test Period Volumes'!I26</f>
        <v>-112963.37156671967</v>
      </c>
      <c r="K11" s="303">
        <f>+E11*'Test Period Volumes'!I27</f>
        <v>-86941.830031089805</v>
      </c>
      <c r="L11" s="303">
        <f>+E11*'Test Period Volumes'!I28</f>
        <v>-56746.314601082762</v>
      </c>
      <c r="M11" s="303">
        <f>+E11*'Test Period Volumes'!I29</f>
        <v>-42041.813936580031</v>
      </c>
      <c r="N11" s="303">
        <f>+E11*'Test Period Volumes'!I30</f>
        <v>-31126.594807537454</v>
      </c>
      <c r="O11" s="303">
        <f>+E11*'Test Period Volumes'!I31</f>
        <v>-29136.503071133222</v>
      </c>
      <c r="P11" s="303">
        <f>+E11*'Test Period Volumes'!I32</f>
        <v>-29189.506756577706</v>
      </c>
      <c r="Q11" s="303">
        <f>+E11*'Test Period Volumes'!I33</f>
        <v>-38878.819595453351</v>
      </c>
      <c r="R11" s="303">
        <f>+E11*'Test Period Volumes'!I34</f>
        <v>-61208.451742174031</v>
      </c>
      <c r="S11" s="303">
        <f>SUM(G11:R11)</f>
        <v>-870848.09999999986</v>
      </c>
      <c r="T11" s="303">
        <f>+S11+F11</f>
        <v>0</v>
      </c>
    </row>
    <row r="12" spans="1:20">
      <c r="A12" s="199" t="str">
        <f>+'Balances at 7-31-2020'!A13</f>
        <v>47WA.1823.20431</v>
      </c>
      <c r="B12" s="199" t="str">
        <f>+'Int calc thru 10-31-2020'!B11</f>
        <v>Low Income Weatherization Program</v>
      </c>
      <c r="C12" s="199" t="str">
        <f>+'Balances at 7-31-2020'!E13</f>
        <v>Core</v>
      </c>
      <c r="D12" s="199">
        <v>7</v>
      </c>
      <c r="E12" s="302">
        <v>-3.7792122526478021E-3</v>
      </c>
      <c r="F12" s="303">
        <f>+EstimatedBalances!F12</f>
        <v>979878.30999999994</v>
      </c>
      <c r="G12" s="303">
        <f>+E12*'Test Period Volumes'!I23</f>
        <v>-116056.97794708615</v>
      </c>
      <c r="H12" s="303">
        <f>+E12*'Test Period Volumes'!I24</f>
        <v>-160497.95929074154</v>
      </c>
      <c r="I12" s="303">
        <f>+E12*'Test Period Volumes'!I25</f>
        <v>-153963.35361838623</v>
      </c>
      <c r="J12" s="303">
        <f>+E12*'Test Period Volumes'!I26</f>
        <v>-127106.38930336913</v>
      </c>
      <c r="K12" s="303">
        <f>+E12*'Test Period Volumes'!I27</f>
        <v>-97826.94993440478</v>
      </c>
      <c r="L12" s="303">
        <f>+E12*'Test Period Volumes'!I28</f>
        <v>-63850.955005858435</v>
      </c>
      <c r="M12" s="303">
        <f>+E12*'Test Period Volumes'!I29</f>
        <v>-47305.450387398778</v>
      </c>
      <c r="N12" s="303">
        <f>+E12*'Test Period Volumes'!I30</f>
        <v>-35023.645473951859</v>
      </c>
      <c r="O12" s="303">
        <f>+E12*'Test Period Volumes'!I31</f>
        <v>-32784.394188437494</v>
      </c>
      <c r="P12" s="303">
        <f>+E12*'Test Period Volumes'!I32</f>
        <v>-32844.03393699653</v>
      </c>
      <c r="Q12" s="303">
        <f>+E12*'Test Period Volumes'!I33</f>
        <v>-43746.44905350051</v>
      </c>
      <c r="R12" s="303">
        <f>+E12*'Test Period Volumes'!I34</f>
        <v>-68871.751859868615</v>
      </c>
      <c r="S12" s="303">
        <f>SUM(G12:R12)</f>
        <v>-979878.31</v>
      </c>
      <c r="T12" s="303">
        <f>+S12+F12</f>
        <v>0</v>
      </c>
    </row>
    <row r="13" spans="1:20">
      <c r="A13" s="199" t="str">
        <f>+'Balances at 7-31-2020'!A14</f>
        <v>47WA.1823.20444</v>
      </c>
      <c r="B13" s="199" t="str">
        <f>+'Int calc thru 10-31-2020'!B12</f>
        <v>Washington Conservation Administration &amp; Program Delivery Fees</v>
      </c>
      <c r="C13" s="199" t="str">
        <f>+'Balances at 7-31-2020'!E14</f>
        <v>Core</v>
      </c>
      <c r="D13" s="199">
        <v>7</v>
      </c>
      <c r="E13" s="302">
        <v>-9.6280223278904595E-3</v>
      </c>
      <c r="F13" s="303">
        <f>+EstimatedBalances!F13</f>
        <v>2496364.2199999997</v>
      </c>
      <c r="G13" s="303">
        <f>+E13*'Test Period Volumes'!I23</f>
        <v>-295669.86458597583</v>
      </c>
      <c r="H13" s="303">
        <f>+E13*'Test Period Volumes'!I24</f>
        <v>-408888.89861887397</v>
      </c>
      <c r="I13" s="303">
        <f>+E13*'Test Period Volumes'!I25</f>
        <v>-392241.16223589721</v>
      </c>
      <c r="J13" s="303">
        <f>+E13*'Test Period Volumes'!I26</f>
        <v>-323819.64081878826</v>
      </c>
      <c r="K13" s="303">
        <f>+E13*'Test Period Volumes'!I27</f>
        <v>-249226.55708950161</v>
      </c>
      <c r="L13" s="303">
        <f>+E13*'Test Period Volumes'!I28</f>
        <v>-162668.40266058632</v>
      </c>
      <c r="M13" s="303">
        <f>+E13*'Test Period Volumes'!I29</f>
        <v>-120516.63206841203</v>
      </c>
      <c r="N13" s="303">
        <f>+E13*'Test Period Volumes'!I30</f>
        <v>-89227.177010519124</v>
      </c>
      <c r="O13" s="303">
        <f>+E13*'Test Period Volumes'!I31</f>
        <v>-83522.400476842129</v>
      </c>
      <c r="P13" s="303">
        <f>+E13*'Test Period Volumes'!I32</f>
        <v>-83674.340297198563</v>
      </c>
      <c r="Q13" s="303">
        <f>+E13*'Test Period Volumes'!I33</f>
        <v>-111449.62497354542</v>
      </c>
      <c r="R13" s="303">
        <f>+E13*'Test Period Volumes'!I34</f>
        <v>-175459.51916385861</v>
      </c>
      <c r="S13" s="303">
        <f>SUM(G13:R13)</f>
        <v>-2496364.2199999988</v>
      </c>
      <c r="T13" s="303">
        <f>+S13+F13</f>
        <v>0</v>
      </c>
    </row>
    <row r="14" spans="1:20">
      <c r="A14" s="199" t="str">
        <f>+'Balances at 7-31-2020'!A15</f>
        <v>47WA.1823.20449</v>
      </c>
      <c r="B14" s="199" t="str">
        <f>+'Int calc thru 10-31-2020'!B13</f>
        <v xml:space="preserve">Washington Residential Conservation Program </v>
      </c>
      <c r="C14" s="199" t="str">
        <f>+'Balances at 7-31-2020'!E15</f>
        <v>Core</v>
      </c>
      <c r="D14" s="199">
        <v>7</v>
      </c>
      <c r="E14" s="302">
        <v>-9.3309457958948815E-3</v>
      </c>
      <c r="F14" s="303">
        <f>+EstimatedBalances!F14</f>
        <v>2419337.89</v>
      </c>
      <c r="G14" s="303">
        <f>+E14*'Test Period Volumes'!I23</f>
        <v>-286546.85105365788</v>
      </c>
      <c r="H14" s="303">
        <f>+E14*'Test Period Volumes'!I24</f>
        <v>-396272.46589402365</v>
      </c>
      <c r="I14" s="303">
        <f>+E14*'Test Period Volumes'!I25</f>
        <v>-380138.40216590819</v>
      </c>
      <c r="J14" s="303">
        <f>+E14*'Test Period Volumes'!I26</f>
        <v>-313828.05452927278</v>
      </c>
      <c r="K14" s="303">
        <f>+E14*'Test Period Volumes'!I27</f>
        <v>-241536.5706374688</v>
      </c>
      <c r="L14" s="303">
        <f>+E14*'Test Period Volumes'!I28</f>
        <v>-157649.20315294917</v>
      </c>
      <c r="M14" s="303">
        <f>+E14*'Test Period Volumes'!I29</f>
        <v>-116798.04253014749</v>
      </c>
      <c r="N14" s="303">
        <f>+E14*'Test Period Volumes'!I30</f>
        <v>-86474.036292382836</v>
      </c>
      <c r="O14" s="303">
        <f>+E14*'Test Period Volumes'!I31</f>
        <v>-80945.282951290792</v>
      </c>
      <c r="P14" s="303">
        <f>+E14*'Test Period Volumes'!I32</f>
        <v>-81092.534606895802</v>
      </c>
      <c r="Q14" s="303">
        <f>+E14*'Test Period Volumes'!I33</f>
        <v>-108010.8016148336</v>
      </c>
      <c r="R14" s="303">
        <f>+E14*'Test Period Volumes'!I34</f>
        <v>-170045.6445711694</v>
      </c>
      <c r="S14" s="303">
        <f>SUM(G14:R14)</f>
        <v>-2419337.89</v>
      </c>
      <c r="T14" s="303">
        <f>+S14+F14</f>
        <v>0</v>
      </c>
    </row>
    <row r="15" spans="1:20">
      <c r="A15" s="199" t="str">
        <f>+'Balances at 7-31-2020'!A16</f>
        <v>47WA.1823.20478</v>
      </c>
      <c r="B15" s="199" t="str">
        <f>+'Int calc thru 10-31-2020'!B14</f>
        <v>Consolidated Technical Adjustments - Conservation</v>
      </c>
      <c r="C15" s="199" t="str">
        <f>+'Balances at 7-31-2020'!E16</f>
        <v>Core</v>
      </c>
      <c r="D15" s="199">
        <v>7</v>
      </c>
      <c r="E15" s="302">
        <v>1.2926287543519373E-3</v>
      </c>
      <c r="F15" s="303">
        <f>+EstimatedBalances!F15</f>
        <v>-335154.20532000007</v>
      </c>
      <c r="G15" s="303">
        <f>+E15*'Test Period Volumes'!I23</f>
        <v>39695.729376534968</v>
      </c>
      <c r="H15" s="303">
        <f>+E15*'Test Period Volumes'!I24</f>
        <v>54896.169710675807</v>
      </c>
      <c r="I15" s="303">
        <f>+E15*'Test Period Volumes'!I25</f>
        <v>52661.095672555908</v>
      </c>
      <c r="J15" s="303">
        <f>+E15*'Test Period Volumes'!I26</f>
        <v>43475.032015011377</v>
      </c>
      <c r="K15" s="303">
        <f>+E15*'Test Period Volumes'!I27</f>
        <v>33460.393325927245</v>
      </c>
      <c r="L15" s="303">
        <f>+E15*'Test Period Volumes'!I28</f>
        <v>21839.360934432323</v>
      </c>
      <c r="M15" s="303">
        <f>+E15*'Test Period Volumes'!I29</f>
        <v>16180.193469016909</v>
      </c>
      <c r="N15" s="303">
        <f>+E15*'Test Period Volumes'!I30</f>
        <v>11979.367179003844</v>
      </c>
      <c r="O15" s="303">
        <f>+E15*'Test Period Volumes'!I31</f>
        <v>11213.461374732744</v>
      </c>
      <c r="P15" s="303">
        <f>+E15*'Test Period Volumes'!I32</f>
        <v>11233.860349105171</v>
      </c>
      <c r="Q15" s="303">
        <f>+E15*'Test Period Volumes'!I33</f>
        <v>14962.884899552306</v>
      </c>
      <c r="R15" s="303">
        <f>+E15*'Test Period Volumes'!I34</f>
        <v>23556.657013451502</v>
      </c>
      <c r="S15" s="303">
        <f>SUM(G15:R15)</f>
        <v>335154.20532000007</v>
      </c>
      <c r="T15" s="303">
        <f>+S15+F15</f>
        <v>0</v>
      </c>
    </row>
    <row r="16" spans="1:20" s="200" customFormat="1">
      <c r="E16" s="304">
        <f>+E11+E12+E13+E14+E15</f>
        <v>-2.4804254203950847E-2</v>
      </c>
      <c r="F16" s="305">
        <f>+F11+F12+F13+F14+F15</f>
        <v>6431274.3146799998</v>
      </c>
      <c r="G16" s="305">
        <f t="shared" ref="G16:T16" si="0">+G11+G12+G13+G14+G15</f>
        <v>-761721.38284240454</v>
      </c>
      <c r="H16" s="305">
        <f t="shared" si="0"/>
        <v>-1053402.6446050247</v>
      </c>
      <c r="I16" s="305">
        <f t="shared" si="0"/>
        <v>-1010513.8070950068</v>
      </c>
      <c r="J16" s="305">
        <f t="shared" si="0"/>
        <v>-834242.42420313833</v>
      </c>
      <c r="K16" s="305">
        <f t="shared" si="0"/>
        <v>-642071.5143665378</v>
      </c>
      <c r="L16" s="305">
        <f t="shared" si="0"/>
        <v>-419075.51448604441</v>
      </c>
      <c r="M16" s="305">
        <f t="shared" si="0"/>
        <v>-310481.74545352138</v>
      </c>
      <c r="N16" s="305">
        <f t="shared" si="0"/>
        <v>-229872.08640538744</v>
      </c>
      <c r="O16" s="305">
        <f t="shared" si="0"/>
        <v>-215175.11931297087</v>
      </c>
      <c r="P16" s="305">
        <f t="shared" si="0"/>
        <v>-215566.55524856344</v>
      </c>
      <c r="Q16" s="305">
        <f t="shared" si="0"/>
        <v>-287122.81033778057</v>
      </c>
      <c r="R16" s="305">
        <f t="shared" si="0"/>
        <v>-452028.71032361913</v>
      </c>
      <c r="S16" s="305">
        <f t="shared" si="0"/>
        <v>-6431274.3146799998</v>
      </c>
      <c r="T16" s="305">
        <f t="shared" si="0"/>
        <v>0</v>
      </c>
    </row>
    <row r="18" spans="1:20">
      <c r="A18" s="199" t="s">
        <v>122</v>
      </c>
      <c r="B18" s="199" t="s">
        <v>129</v>
      </c>
      <c r="E18" s="306">
        <f>SUM(E11:E15)</f>
        <v>-2.4804254203950847E-2</v>
      </c>
      <c r="F18" s="303">
        <f>SUM(F11:F15)</f>
        <v>6431274.3146799998</v>
      </c>
      <c r="G18" s="303">
        <f t="shared" ref="G18:S18" si="1">SUM(G11:G15)</f>
        <v>-761721.38284240454</v>
      </c>
      <c r="H18" s="303">
        <f t="shared" si="1"/>
        <v>-1053402.6446050247</v>
      </c>
      <c r="I18" s="303">
        <f t="shared" si="1"/>
        <v>-1010513.8070950068</v>
      </c>
      <c r="J18" s="303">
        <f t="shared" si="1"/>
        <v>-834242.42420313833</v>
      </c>
      <c r="K18" s="303">
        <f t="shared" si="1"/>
        <v>-642071.5143665378</v>
      </c>
      <c r="L18" s="303">
        <f t="shared" si="1"/>
        <v>-419075.51448604441</v>
      </c>
      <c r="M18" s="303">
        <f t="shared" si="1"/>
        <v>-310481.74545352138</v>
      </c>
      <c r="N18" s="303">
        <f t="shared" si="1"/>
        <v>-229872.08640538744</v>
      </c>
      <c r="O18" s="303">
        <f t="shared" si="1"/>
        <v>-215175.11931297087</v>
      </c>
      <c r="P18" s="303">
        <f t="shared" si="1"/>
        <v>-215566.55524856344</v>
      </c>
      <c r="Q18" s="303">
        <f t="shared" si="1"/>
        <v>-287122.81033778057</v>
      </c>
      <c r="R18" s="303">
        <f t="shared" si="1"/>
        <v>-452028.71032361913</v>
      </c>
      <c r="S18" s="303">
        <f t="shared" si="1"/>
        <v>-6431274.3146799998</v>
      </c>
      <c r="T18" s="303">
        <f>SUM(T11:T15)</f>
        <v>0</v>
      </c>
    </row>
    <row r="20" spans="1:20">
      <c r="B20" s="200" t="s">
        <v>126</v>
      </c>
    </row>
    <row r="21" spans="1:20">
      <c r="B21" s="118" t="s">
        <v>128</v>
      </c>
      <c r="C21" s="291">
        <f>+'Int calc thru 10-31-2020'!D8</f>
        <v>3.4299999999999997E-2</v>
      </c>
      <c r="G21" s="292">
        <f>+C21*DAY(DATE(YEAR(G10),MONTH(G10)+1,DAY(1))-1)/365</f>
        <v>2.8191780821917806E-3</v>
      </c>
      <c r="H21" s="292">
        <f>+C21*DAY(DATE(YEAR(H10),MONTH(H10)+1,DAY(1))-1)/365</f>
        <v>2.9131506849315067E-3</v>
      </c>
      <c r="I21" s="292">
        <f>+C21*DAY(DATE(YEAR(I10),MONTH(I10)+1,DAY(1))-1)/365</f>
        <v>2.9131506849315067E-3</v>
      </c>
      <c r="J21" s="292">
        <f>+C21*DAY(DATE(YEAR(J10),MONTH(J10)+1,DAY(1))-1)/365</f>
        <v>2.6312328767123284E-3</v>
      </c>
      <c r="K21" s="292">
        <f>+C21*DAY(DATE(YEAR(K10),MONTH(K10)+1,DAY(1))-1)/365</f>
        <v>2.9131506849315067E-3</v>
      </c>
      <c r="L21" s="292">
        <f>+C21*DAY(DATE(YEAR(L10),MONTH(L10)+1,DAY(1))-1)/365</f>
        <v>2.8191780821917806E-3</v>
      </c>
      <c r="M21" s="292">
        <f>+C21*DAY(DATE(YEAR(M10),MONTH(M10)+1,DAY(1))-1)/365</f>
        <v>2.9131506849315067E-3</v>
      </c>
      <c r="N21" s="292">
        <f>+C21*DAY(DATE(YEAR(N10),MONTH(N10)+1,DAY(1))-1)/365</f>
        <v>2.8191780821917806E-3</v>
      </c>
      <c r="O21" s="292">
        <f>+C21*DAY(DATE(YEAR(O10),MONTH(O10)+1,DAY(1))-1)/365</f>
        <v>2.9131506849315067E-3</v>
      </c>
      <c r="P21" s="292">
        <f>+C21*DAY(DATE(YEAR(P10),MONTH(P10)+1,DAY(1))-1)/365</f>
        <v>2.9131506849315067E-3</v>
      </c>
      <c r="Q21" s="292">
        <f>+C21*DAY(DATE(YEAR(Q10),MONTH(Q10)+1,DAY(1))-1)/365</f>
        <v>2.8191780821917806E-3</v>
      </c>
      <c r="R21" s="292">
        <f>+C21*DAY(DATE(YEAR(R10),MONTH(R10)+1,DAY(1))-1)/365</f>
        <v>2.9131506849315067E-3</v>
      </c>
      <c r="S21" s="313" t="s">
        <v>43</v>
      </c>
    </row>
    <row r="22" spans="1:20">
      <c r="A22" s="199" t="str">
        <f t="shared" ref="A22:B26" si="2">+A11</f>
        <v>47WA.1823.20430</v>
      </c>
      <c r="B22" s="199" t="str">
        <f t="shared" si="2"/>
        <v xml:space="preserve">Commercial Conservation Program </v>
      </c>
      <c r="D22" s="199">
        <v>7</v>
      </c>
      <c r="G22" s="238">
        <f>+G$21*(SUM($F11:F11))</f>
        <v>2455.0758764383563</v>
      </c>
      <c r="H22" s="238">
        <f>+H$21*(SUM($F11:G11))</f>
        <v>2236.4394183516738</v>
      </c>
      <c r="I22" s="238">
        <f>+I$21*(SUM($F11:H11))</f>
        <v>1820.9090888681812</v>
      </c>
      <c r="J22" s="238">
        <f>+J$21*(SUM($F11:I11))</f>
        <v>1284.6552634149518</v>
      </c>
      <c r="K22" s="238">
        <f>+K$21*(SUM($F11:J11))</f>
        <v>1093.217575529078</v>
      </c>
      <c r="L22" s="238">
        <f>+L$21*(SUM($F11:K11))</f>
        <v>812.84799079820345</v>
      </c>
      <c r="M22" s="238">
        <f>+M$21*(SUM($F11:L11))</f>
        <v>674.63235857732718</v>
      </c>
      <c r="N22" s="238">
        <f>+N$21*(SUM($F11:M11))</f>
        <v>534.34666404408017</v>
      </c>
      <c r="O22" s="238">
        <f>+O$21*(SUM($F11:N11))</f>
        <v>461.48175852905297</v>
      </c>
      <c r="P22" s="238">
        <f>+P$21*(SUM($F11:O11))</f>
        <v>376.60273465087226</v>
      </c>
      <c r="Q22" s="238">
        <f>+Q$21*(SUM($F11:P11))</f>
        <v>282.16384166142103</v>
      </c>
      <c r="R22" s="238">
        <f>+R$21*(SUM($F11:Q11))</f>
        <v>178.30944311631168</v>
      </c>
      <c r="S22" s="303">
        <f>SUM(G22:R22)</f>
        <v>12210.682013979511</v>
      </c>
    </row>
    <row r="23" spans="1:20">
      <c r="A23" s="199" t="str">
        <f t="shared" si="2"/>
        <v>47WA.1823.20431</v>
      </c>
      <c r="B23" s="199" t="str">
        <f t="shared" si="2"/>
        <v>Low Income Weatherization Program</v>
      </c>
      <c r="D23" s="199">
        <v>7</v>
      </c>
      <c r="G23" s="238">
        <f>+G$21*(SUM($F12:F12))</f>
        <v>2762.4514547671229</v>
      </c>
      <c r="H23" s="238">
        <f>+H$21*(SUM($F12:G12))</f>
        <v>2516.4417051283922</v>
      </c>
      <c r="I23" s="238">
        <f>+I$21*(SUM($F12:H12))</f>
        <v>2048.8869650904594</v>
      </c>
      <c r="J23" s="238">
        <f>+J$21*(SUM($F12:I12))</f>
        <v>1445.4941435224439</v>
      </c>
      <c r="K23" s="238">
        <f>+K$21*(SUM($F12:J12))</f>
        <v>1230.0884509844254</v>
      </c>
      <c r="L23" s="238">
        <f>+L$21*(SUM($F12:K12))</f>
        <v>914.61658526927795</v>
      </c>
      <c r="M23" s="238">
        <f>+M$21*(SUM($F12:L12))</f>
        <v>759.09635146940661</v>
      </c>
      <c r="N23" s="238">
        <f>+N$21*(SUM($F12:M12))</f>
        <v>601.24688348938298</v>
      </c>
      <c r="O23" s="238">
        <f>+O$21*(SUM($F12:N12))</f>
        <v>519.25928947112141</v>
      </c>
      <c r="P23" s="238">
        <f>+P$21*(SUM($F12:O12))</f>
        <v>423.75340908601015</v>
      </c>
      <c r="Q23" s="238">
        <f>+Q$21*(SUM($F12:P12))</f>
        <v>317.49076367084035</v>
      </c>
      <c r="R23" s="238">
        <f>+R$21*(SUM($F12:Q12))</f>
        <v>200.63379110300878</v>
      </c>
      <c r="S23" s="303">
        <f>SUM(G23:R23)</f>
        <v>13739.459793051894</v>
      </c>
    </row>
    <row r="24" spans="1:20">
      <c r="A24" s="199" t="str">
        <f t="shared" si="2"/>
        <v>47WA.1823.20444</v>
      </c>
      <c r="B24" s="199" t="str">
        <f t="shared" si="2"/>
        <v>Washington Conservation Administration &amp; Program Delivery Fees</v>
      </c>
      <c r="D24" s="199">
        <v>7</v>
      </c>
      <c r="G24" s="238">
        <f>+G$21*(SUM($F13:F13))</f>
        <v>7037.6952941917798</v>
      </c>
      <c r="H24" s="238">
        <f>+H$21*(SUM($F13:G13))</f>
        <v>6410.9542687992653</v>
      </c>
      <c r="I24" s="238">
        <f>+I$21*(SUM($F13:H13))</f>
        <v>5219.7992937268027</v>
      </c>
      <c r="J24" s="238">
        <f>+J$21*(SUM($F13:I13))</f>
        <v>3682.5795849170036</v>
      </c>
      <c r="K24" s="238">
        <f>+K$21*(SUM($F13:J13))</f>
        <v>3133.8062748554412</v>
      </c>
      <c r="L24" s="238">
        <f>+L$21*(SUM($F13:K13))</f>
        <v>2330.1017026132627</v>
      </c>
      <c r="M24" s="238">
        <f>+M$21*(SUM($F13:L13))</f>
        <v>1933.8941907396372</v>
      </c>
      <c r="N24" s="238">
        <f>+N$21*(SUM($F13:M13))</f>
        <v>1531.7526595005525</v>
      </c>
      <c r="O24" s="238">
        <f>+O$21*(SUM($F13:N13))</f>
        <v>1322.8788696612057</v>
      </c>
      <c r="P24" s="238">
        <f>+P$21*(SUM($F13:O13))</f>
        <v>1079.5655315049694</v>
      </c>
      <c r="Q24" s="238">
        <f>+Q$21*(SUM($F13:P13))</f>
        <v>808.84797073257437</v>
      </c>
      <c r="R24" s="238">
        <f>+R$21*(SUM($F13:Q13))</f>
        <v>511.14001842995009</v>
      </c>
      <c r="S24" s="303">
        <f>SUM(G24:R24)</f>
        <v>35003.015659672441</v>
      </c>
    </row>
    <row r="25" spans="1:20">
      <c r="A25" s="199" t="str">
        <f t="shared" si="2"/>
        <v>47WA.1823.20449</v>
      </c>
      <c r="B25" s="199" t="str">
        <f t="shared" si="2"/>
        <v xml:space="preserve">Washington Residential Conservation Program </v>
      </c>
      <c r="D25" s="199">
        <v>7</v>
      </c>
      <c r="G25" s="238">
        <f>+G$21*(SUM($F14:F14))</f>
        <v>6820.5443529041095</v>
      </c>
      <c r="H25" s="238">
        <f>+H$21*(SUM($F14:G14))</f>
        <v>6213.1416759223166</v>
      </c>
      <c r="I25" s="238">
        <f>+I$21*(SUM($F14:H14))</f>
        <v>5058.7402704836441</v>
      </c>
      <c r="J25" s="238">
        <f>+J$21*(SUM($F14:I14))</f>
        <v>3568.9520989570092</v>
      </c>
      <c r="K25" s="238">
        <f>+K$21*(SUM($F14:J14))</f>
        <v>3037.1114118425876</v>
      </c>
      <c r="L25" s="238">
        <f>+L$21*(SUM($F14:K14))</f>
        <v>2258.2054699877785</v>
      </c>
      <c r="M25" s="238">
        <f>+M$21*(SUM($F14:L14))</f>
        <v>1874.2231015101179</v>
      </c>
      <c r="N25" s="238">
        <f>+N$21*(SUM($F14:M14))</f>
        <v>1484.48981024009</v>
      </c>
      <c r="O25" s="238">
        <f>+O$21*(SUM($F14:N14))</f>
        <v>1282.0609058608125</v>
      </c>
      <c r="P25" s="238">
        <f>+P$21*(SUM($F14:O14))</f>
        <v>1046.2550993892851</v>
      </c>
      <c r="Q25" s="238">
        <f>+Q$21*(SUM($F14:P14))</f>
        <v>783.89063869971744</v>
      </c>
      <c r="R25" s="238">
        <f>+R$21*(SUM($F14:Q14))</f>
        <v>495.36858595212118</v>
      </c>
      <c r="S25" s="303">
        <f>SUM(G25:R25)</f>
        <v>33922.983421749588</v>
      </c>
    </row>
    <row r="26" spans="1:20">
      <c r="A26" s="199" t="str">
        <f t="shared" si="2"/>
        <v>47WA.1823.20478</v>
      </c>
      <c r="B26" s="199" t="str">
        <f t="shared" si="2"/>
        <v>Consolidated Technical Adjustments - Conservation</v>
      </c>
      <c r="D26" s="199">
        <v>7</v>
      </c>
      <c r="G26" s="238">
        <f>+G$21*(SUM($F15:F15))</f>
        <v>-944.85938979254809</v>
      </c>
      <c r="H26" s="238">
        <f>+H$21*(SUM($F15:G15))</f>
        <v>-860.71506156352439</v>
      </c>
      <c r="I26" s="238">
        <f>+I$21*(SUM($F15:H15))</f>
        <v>-700.7942471707529</v>
      </c>
      <c r="J26" s="238">
        <f>+J$21*(SUM($F15:I15))</f>
        <v>-494.41184280013175</v>
      </c>
      <c r="K26" s="238">
        <f>+K$21*(SUM($F15:J15))</f>
        <v>-420.73522095105346</v>
      </c>
      <c r="L26" s="238">
        <f>+L$21*(SUM($F15:K15))</f>
        <v>-312.83230956343635</v>
      </c>
      <c r="M26" s="238">
        <f>+M$21*(SUM($F15:L15))</f>
        <v>-259.63870395094301</v>
      </c>
      <c r="N26" s="238">
        <f>+N$21*(SUM($F15:M15))</f>
        <v>-205.64841509453427</v>
      </c>
      <c r="O26" s="238">
        <f>+O$21*(SUM($F15:N15))</f>
        <v>-177.60566056179104</v>
      </c>
      <c r="P26" s="238">
        <f>+P$21*(SUM($F15:O15))</f>
        <v>-144.93915787753534</v>
      </c>
      <c r="Q26" s="238">
        <f>+Q$21*(SUM($F15:P15))</f>
        <v>-108.5934482972078</v>
      </c>
      <c r="R26" s="238">
        <f>+R$21*(SUM($F15:Q15))</f>
        <v>-68.624091513432617</v>
      </c>
      <c r="S26" s="303">
        <f>SUM(G26:R26)</f>
        <v>-4699.3975491368919</v>
      </c>
    </row>
    <row r="27" spans="1:20">
      <c r="G27" s="303">
        <f t="shared" ref="G27:R27" si="3">SUM(G22:G26)</f>
        <v>18130.90758850882</v>
      </c>
      <c r="H27" s="303">
        <f t="shared" si="3"/>
        <v>16516.262006638124</v>
      </c>
      <c r="I27" s="303">
        <f t="shared" si="3"/>
        <v>13447.541370998333</v>
      </c>
      <c r="J27" s="303">
        <f t="shared" si="3"/>
        <v>9487.2692480112783</v>
      </c>
      <c r="K27" s="303">
        <f t="shared" si="3"/>
        <v>8073.4884922604797</v>
      </c>
      <c r="L27" s="303">
        <f t="shared" si="3"/>
        <v>6002.9394391050873</v>
      </c>
      <c r="M27" s="303">
        <f t="shared" si="3"/>
        <v>4982.2072983455464</v>
      </c>
      <c r="N27" s="303">
        <f t="shared" si="3"/>
        <v>3946.1876021795715</v>
      </c>
      <c r="O27" s="303">
        <f t="shared" si="3"/>
        <v>3408.0751629604015</v>
      </c>
      <c r="P27" s="303">
        <f t="shared" si="3"/>
        <v>2781.2376167536017</v>
      </c>
      <c r="Q27" s="303">
        <f t="shared" si="3"/>
        <v>2083.7997664673453</v>
      </c>
      <c r="R27" s="303">
        <f t="shared" si="3"/>
        <v>1316.8277470879591</v>
      </c>
      <c r="S27" s="303">
        <f>SUM(S22:S26)</f>
        <v>90176.743339316541</v>
      </c>
    </row>
    <row r="29" spans="1:20">
      <c r="A29" s="199" t="str">
        <f>+A18</f>
        <v>CORE Conservation</v>
      </c>
      <c r="B29" s="199" t="s">
        <v>129</v>
      </c>
      <c r="G29" s="238">
        <f t="shared" ref="G29:S29" si="4">SUM(G22:G26)</f>
        <v>18130.90758850882</v>
      </c>
      <c r="H29" s="238">
        <f t="shared" si="4"/>
        <v>16516.262006638124</v>
      </c>
      <c r="I29" s="238">
        <f t="shared" si="4"/>
        <v>13447.541370998333</v>
      </c>
      <c r="J29" s="238">
        <f t="shared" si="4"/>
        <v>9487.2692480112783</v>
      </c>
      <c r="K29" s="238">
        <f t="shared" si="4"/>
        <v>8073.4884922604797</v>
      </c>
      <c r="L29" s="238">
        <f t="shared" si="4"/>
        <v>6002.9394391050873</v>
      </c>
      <c r="M29" s="238">
        <f t="shared" si="4"/>
        <v>4982.2072983455464</v>
      </c>
      <c r="N29" s="238">
        <f t="shared" si="4"/>
        <v>3946.1876021795715</v>
      </c>
      <c r="O29" s="238">
        <f t="shared" si="4"/>
        <v>3408.0751629604015</v>
      </c>
      <c r="P29" s="238">
        <f t="shared" si="4"/>
        <v>2781.2376167536017</v>
      </c>
      <c r="Q29" s="238">
        <f t="shared" si="4"/>
        <v>2083.7997664673453</v>
      </c>
      <c r="R29" s="238">
        <f t="shared" si="4"/>
        <v>1316.8277470879591</v>
      </c>
      <c r="S29" s="238">
        <f t="shared" si="4"/>
        <v>90176.743339316541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I47"/>
  <sheetViews>
    <sheetView topLeftCell="A4" workbookViewId="0">
      <selection activeCell="C7" sqref="C7:H18"/>
    </sheetView>
  </sheetViews>
  <sheetFormatPr defaultRowHeight="15"/>
  <cols>
    <col min="1" max="1" width="12.5" style="199" bestFit="1" customWidth="1"/>
    <col min="2" max="2" width="10.83203125" style="2" bestFit="1" customWidth="1"/>
    <col min="3" max="4" width="16.6640625" style="2" bestFit="1" customWidth="1"/>
    <col min="5" max="6" width="13.6640625" style="2" bestFit="1" customWidth="1"/>
    <col min="7" max="7" width="12.33203125" style="2" bestFit="1" customWidth="1"/>
    <col min="8" max="8" width="14.83203125" style="2" bestFit="1" customWidth="1"/>
    <col min="9" max="9" width="14.6640625" style="2" customWidth="1"/>
    <col min="10" max="16384" width="9.33203125" style="2"/>
  </cols>
  <sheetData>
    <row r="1" spans="1:9" s="199" customFormat="1">
      <c r="B1" s="597" t="s">
        <v>53</v>
      </c>
      <c r="C1" s="597"/>
      <c r="D1" s="597"/>
      <c r="E1" s="597"/>
      <c r="F1" s="597"/>
      <c r="G1" s="597"/>
      <c r="H1" s="597"/>
      <c r="I1" s="597"/>
    </row>
    <row r="2" spans="1:9">
      <c r="B2" s="614" t="s">
        <v>35</v>
      </c>
      <c r="C2" s="614"/>
      <c r="D2" s="614"/>
      <c r="E2" s="614"/>
      <c r="F2" s="614"/>
      <c r="G2" s="614"/>
      <c r="H2" s="614"/>
      <c r="I2" s="614"/>
    </row>
    <row r="3" spans="1:9">
      <c r="B3" s="605" t="s">
        <v>250</v>
      </c>
      <c r="C3" s="605"/>
      <c r="D3" s="605"/>
      <c r="E3" s="605"/>
      <c r="F3" s="605"/>
      <c r="G3" s="605"/>
      <c r="H3" s="605"/>
      <c r="I3" s="605"/>
    </row>
    <row r="4" spans="1:9">
      <c r="B4" s="597" t="s">
        <v>55</v>
      </c>
      <c r="C4" s="597"/>
      <c r="D4" s="597"/>
      <c r="E4" s="597"/>
      <c r="F4" s="597"/>
      <c r="G4" s="597"/>
      <c r="H4" s="597"/>
      <c r="I4" s="597"/>
    </row>
    <row r="5" spans="1:9" s="199" customFormat="1">
      <c r="B5" s="90"/>
      <c r="C5" s="200"/>
      <c r="D5" s="200"/>
      <c r="E5" s="200"/>
      <c r="F5" s="520"/>
      <c r="G5" s="520"/>
      <c r="H5" s="520"/>
      <c r="I5" s="313"/>
    </row>
    <row r="6" spans="1:9">
      <c r="B6" s="294"/>
      <c r="C6" s="521">
        <v>503</v>
      </c>
      <c r="D6" s="521">
        <v>504</v>
      </c>
      <c r="E6" s="522">
        <v>505</v>
      </c>
      <c r="F6" s="522">
        <v>511</v>
      </c>
      <c r="G6" s="522">
        <v>570</v>
      </c>
      <c r="H6" s="91">
        <v>663</v>
      </c>
      <c r="I6" s="91" t="s">
        <v>188</v>
      </c>
    </row>
    <row r="7" spans="1:9">
      <c r="A7" s="545" t="s">
        <v>247</v>
      </c>
      <c r="B7" s="523">
        <v>43678</v>
      </c>
      <c r="C7" s="546">
        <v>2775098</v>
      </c>
      <c r="D7" s="546">
        <v>2791925</v>
      </c>
      <c r="E7" s="546">
        <v>564404</v>
      </c>
      <c r="F7" s="546">
        <v>751721</v>
      </c>
      <c r="G7" s="546">
        <v>93626</v>
      </c>
      <c r="H7" s="530">
        <v>69462063</v>
      </c>
      <c r="I7" s="524">
        <f>+C7+D7+E7+F7+G7</f>
        <v>6976774</v>
      </c>
    </row>
    <row r="8" spans="1:9">
      <c r="A8" s="545" t="s">
        <v>247</v>
      </c>
      <c r="B8" s="525">
        <v>43709</v>
      </c>
      <c r="C8" s="547">
        <v>2691847</v>
      </c>
      <c r="D8" s="547">
        <v>2672827</v>
      </c>
      <c r="E8" s="547">
        <v>651984</v>
      </c>
      <c r="F8" s="547">
        <v>657931</v>
      </c>
      <c r="G8" s="547">
        <v>111853</v>
      </c>
      <c r="H8" s="530">
        <v>66432032</v>
      </c>
      <c r="I8" s="524">
        <f t="shared" ref="I8:I18" si="0">+C8+D8+E8+F8+G8</f>
        <v>6786442</v>
      </c>
    </row>
    <row r="9" spans="1:9">
      <c r="A9" s="545" t="s">
        <v>247</v>
      </c>
      <c r="B9" s="523">
        <v>43739</v>
      </c>
      <c r="C9" s="546">
        <v>6366467</v>
      </c>
      <c r="D9" s="546">
        <v>4854071</v>
      </c>
      <c r="E9" s="546">
        <v>2624051</v>
      </c>
      <c r="F9" s="546">
        <v>1093634</v>
      </c>
      <c r="G9" s="546">
        <v>233137</v>
      </c>
      <c r="H9" s="530">
        <v>47040455</v>
      </c>
      <c r="I9" s="524">
        <f t="shared" si="0"/>
        <v>15171360</v>
      </c>
    </row>
    <row r="10" spans="1:9">
      <c r="A10" s="545" t="s">
        <v>247</v>
      </c>
      <c r="B10" s="525">
        <v>43770</v>
      </c>
      <c r="C10" s="547">
        <v>11628968</v>
      </c>
      <c r="D10" s="547">
        <v>7911625</v>
      </c>
      <c r="E10" s="547">
        <v>1158623</v>
      </c>
      <c r="F10" s="547">
        <v>3021690</v>
      </c>
      <c r="G10" s="547">
        <v>230724</v>
      </c>
      <c r="H10" s="530">
        <v>48656976</v>
      </c>
      <c r="I10" s="524">
        <f t="shared" si="0"/>
        <v>23951630</v>
      </c>
    </row>
    <row r="11" spans="1:9">
      <c r="A11" s="545" t="s">
        <v>247</v>
      </c>
      <c r="B11" s="523">
        <v>43800</v>
      </c>
      <c r="C11" s="548">
        <v>17650518</v>
      </c>
      <c r="D11" s="548">
        <v>11980664</v>
      </c>
      <c r="E11" s="548">
        <v>1422636</v>
      </c>
      <c r="F11" s="548">
        <v>3328407</v>
      </c>
      <c r="G11" s="548">
        <v>254276</v>
      </c>
      <c r="H11" s="530">
        <v>60975891</v>
      </c>
      <c r="I11" s="524">
        <f t="shared" si="0"/>
        <v>34636501</v>
      </c>
    </row>
    <row r="12" spans="1:9">
      <c r="A12" s="545" t="s">
        <v>247</v>
      </c>
      <c r="B12" s="525">
        <v>43831</v>
      </c>
      <c r="C12" s="549">
        <v>21443608</v>
      </c>
      <c r="D12" s="549">
        <v>14483260</v>
      </c>
      <c r="E12" s="549">
        <v>1522757</v>
      </c>
      <c r="F12" s="550">
        <v>3741098</v>
      </c>
      <c r="G12" s="550">
        <v>256288</v>
      </c>
      <c r="H12" s="530">
        <v>54743777</v>
      </c>
      <c r="I12" s="524">
        <f t="shared" si="0"/>
        <v>41447011</v>
      </c>
    </row>
    <row r="13" spans="1:9">
      <c r="A13" s="545" t="s">
        <v>247</v>
      </c>
      <c r="B13" s="523">
        <v>43862</v>
      </c>
      <c r="C13" s="551">
        <v>17506775</v>
      </c>
      <c r="D13" s="551">
        <v>11975788</v>
      </c>
      <c r="E13" s="551">
        <v>1322495</v>
      </c>
      <c r="F13" s="548">
        <v>3282608</v>
      </c>
      <c r="G13" s="548">
        <v>229332</v>
      </c>
      <c r="H13" s="530">
        <v>50453480</v>
      </c>
      <c r="I13" s="524">
        <f t="shared" si="0"/>
        <v>34316998</v>
      </c>
    </row>
    <row r="14" spans="1:9">
      <c r="A14" s="545" t="s">
        <v>247</v>
      </c>
      <c r="B14" s="525">
        <v>43891</v>
      </c>
      <c r="C14" s="550">
        <v>17635811</v>
      </c>
      <c r="D14" s="550">
        <v>11817611</v>
      </c>
      <c r="E14" s="550">
        <v>1356275</v>
      </c>
      <c r="F14" s="550">
        <v>3331521</v>
      </c>
      <c r="G14" s="550">
        <v>229447</v>
      </c>
      <c r="H14" s="530">
        <v>65511452</v>
      </c>
      <c r="I14" s="524">
        <f t="shared" si="0"/>
        <v>34370665</v>
      </c>
    </row>
    <row r="15" spans="1:9">
      <c r="A15" s="545" t="s">
        <v>247</v>
      </c>
      <c r="B15" s="523">
        <v>43922</v>
      </c>
      <c r="C15" s="548">
        <v>13930299</v>
      </c>
      <c r="D15" s="548">
        <v>8559467</v>
      </c>
      <c r="E15" s="548">
        <v>1128418</v>
      </c>
      <c r="F15" s="548">
        <v>2914723</v>
      </c>
      <c r="G15" s="548">
        <v>189714</v>
      </c>
      <c r="H15" s="530">
        <v>55156149</v>
      </c>
      <c r="I15" s="524">
        <f t="shared" si="0"/>
        <v>26722621</v>
      </c>
    </row>
    <row r="16" spans="1:9">
      <c r="A16" s="545" t="s">
        <v>247</v>
      </c>
      <c r="B16" s="525">
        <v>43952</v>
      </c>
      <c r="C16" s="550">
        <v>6809502</v>
      </c>
      <c r="D16" s="550">
        <v>4131807</v>
      </c>
      <c r="E16" s="550">
        <v>713209</v>
      </c>
      <c r="F16" s="550">
        <v>1710957</v>
      </c>
      <c r="G16" s="550">
        <v>139474</v>
      </c>
      <c r="H16" s="530">
        <v>32659120</v>
      </c>
      <c r="I16" s="524">
        <f t="shared" si="0"/>
        <v>13504949</v>
      </c>
    </row>
    <row r="17" spans="1:9">
      <c r="A17" s="545" t="s">
        <v>247</v>
      </c>
      <c r="B17" s="523">
        <v>43983</v>
      </c>
      <c r="C17" s="548">
        <v>5005480</v>
      </c>
      <c r="D17" s="548">
        <v>3161104</v>
      </c>
      <c r="E17" s="548">
        <v>637229</v>
      </c>
      <c r="F17" s="548">
        <v>1649675</v>
      </c>
      <c r="G17" s="548">
        <v>109505</v>
      </c>
      <c r="H17" s="530">
        <v>32721220</v>
      </c>
      <c r="I17" s="524">
        <f t="shared" si="0"/>
        <v>10562993</v>
      </c>
    </row>
    <row r="18" spans="1:9">
      <c r="A18" s="545" t="s">
        <v>247</v>
      </c>
      <c r="B18" s="525">
        <v>44013</v>
      </c>
      <c r="C18" s="552">
        <v>4024864</v>
      </c>
      <c r="D18" s="553">
        <v>2838573</v>
      </c>
      <c r="E18" s="553">
        <v>562464</v>
      </c>
      <c r="F18" s="552">
        <v>1551524</v>
      </c>
      <c r="G18" s="552">
        <v>106383</v>
      </c>
      <c r="H18" s="530">
        <v>46005530</v>
      </c>
      <c r="I18" s="524">
        <f t="shared" si="0"/>
        <v>9083808</v>
      </c>
    </row>
    <row r="19" spans="1:9">
      <c r="A19" s="545"/>
      <c r="B19" s="526"/>
      <c r="C19" s="527"/>
      <c r="D19" s="528"/>
      <c r="E19" s="528"/>
      <c r="F19" s="528"/>
      <c r="G19" s="528"/>
      <c r="H19" s="528"/>
      <c r="I19" s="529"/>
    </row>
    <row r="20" spans="1:9">
      <c r="A20" s="545" t="s">
        <v>240</v>
      </c>
      <c r="B20" s="561">
        <v>44044</v>
      </c>
      <c r="C20" s="7">
        <f t="shared" ref="C20:C31" si="1">(+C7/I7)*I20</f>
        <v>3398062.2503621303</v>
      </c>
      <c r="D20" s="7">
        <f t="shared" ref="D20:D31" si="2">(+D7/I7)*I20</f>
        <v>3418666.637481736</v>
      </c>
      <c r="E20" s="7">
        <f t="shared" ref="E20:E31" si="3">(+E7/I7)*I20</f>
        <v>691103.49485077197</v>
      </c>
      <c r="F20" s="7">
        <f t="shared" ref="F20:F31" si="4">(+F7/I7)*I20</f>
        <v>920470.10696720297</v>
      </c>
      <c r="G20" s="7">
        <f t="shared" ref="G20:G31" si="5">(+G7/I7)*I20</f>
        <v>114643.51033815916</v>
      </c>
      <c r="H20" s="7">
        <f t="shared" ref="H20:H31" si="6">+H7</f>
        <v>69462063</v>
      </c>
      <c r="I20" s="316">
        <v>8542946</v>
      </c>
    </row>
    <row r="21" spans="1:9">
      <c r="A21" s="545" t="s">
        <v>240</v>
      </c>
      <c r="B21" s="561">
        <v>44075</v>
      </c>
      <c r="C21" s="7">
        <f t="shared" si="1"/>
        <v>4538304.0239437688</v>
      </c>
      <c r="D21" s="7">
        <f t="shared" si="2"/>
        <v>4506237.3639384229</v>
      </c>
      <c r="E21" s="7">
        <f t="shared" si="3"/>
        <v>1099208.6885870388</v>
      </c>
      <c r="F21" s="7">
        <f t="shared" si="4"/>
        <v>1109234.999157585</v>
      </c>
      <c r="G21" s="7">
        <f t="shared" si="5"/>
        <v>188577.92437318404</v>
      </c>
      <c r="H21" s="7">
        <f t="shared" si="6"/>
        <v>66432032</v>
      </c>
      <c r="I21" s="316">
        <v>11441563</v>
      </c>
    </row>
    <row r="22" spans="1:9">
      <c r="A22" s="545" t="s">
        <v>240</v>
      </c>
      <c r="B22" s="561">
        <v>44105</v>
      </c>
      <c r="C22" s="7">
        <f t="shared" si="1"/>
        <v>7571668.3897063937</v>
      </c>
      <c r="D22" s="7">
        <f t="shared" si="2"/>
        <v>5772968.89343658</v>
      </c>
      <c r="E22" s="7">
        <f t="shared" si="3"/>
        <v>3120795.8840715662</v>
      </c>
      <c r="F22" s="7">
        <f t="shared" si="4"/>
        <v>1300663.9298857849</v>
      </c>
      <c r="G22" s="7">
        <f t="shared" si="5"/>
        <v>277270.90289967414</v>
      </c>
      <c r="H22" s="7">
        <f t="shared" si="6"/>
        <v>47040455</v>
      </c>
      <c r="I22" s="316">
        <v>18043368</v>
      </c>
    </row>
    <row r="23" spans="1:9">
      <c r="A23" s="545" t="s">
        <v>240</v>
      </c>
      <c r="B23" s="561">
        <v>44136</v>
      </c>
      <c r="C23" s="7">
        <f t="shared" si="1"/>
        <v>14909946.150565619</v>
      </c>
      <c r="D23" s="7">
        <f t="shared" si="2"/>
        <v>10143798.03207548</v>
      </c>
      <c r="E23" s="7">
        <f t="shared" si="3"/>
        <v>1485515.0120635631</v>
      </c>
      <c r="F23" s="7">
        <f t="shared" si="4"/>
        <v>3874224.7105420381</v>
      </c>
      <c r="G23" s="7">
        <f t="shared" si="5"/>
        <v>295820.09475330071</v>
      </c>
      <c r="H23" s="7">
        <f t="shared" si="6"/>
        <v>48656976</v>
      </c>
      <c r="I23" s="316">
        <v>30709304</v>
      </c>
    </row>
    <row r="24" spans="1:9">
      <c r="A24" s="545" t="s">
        <v>240</v>
      </c>
      <c r="B24" s="561">
        <v>44166</v>
      </c>
      <c r="C24" s="7">
        <f t="shared" si="1"/>
        <v>21641714.991629899</v>
      </c>
      <c r="D24" s="7">
        <f t="shared" si="2"/>
        <v>14689773.733466668</v>
      </c>
      <c r="E24" s="7">
        <f t="shared" si="3"/>
        <v>1744327.4383693666</v>
      </c>
      <c r="F24" s="7">
        <f t="shared" si="4"/>
        <v>4081038.0562284854</v>
      </c>
      <c r="G24" s="7">
        <f t="shared" si="5"/>
        <v>311773.78030557994</v>
      </c>
      <c r="H24" s="7">
        <f t="shared" si="6"/>
        <v>60975891</v>
      </c>
      <c r="I24" s="316">
        <v>42468628</v>
      </c>
    </row>
    <row r="25" spans="1:9">
      <c r="A25" s="545" t="s">
        <v>240</v>
      </c>
      <c r="B25" s="561">
        <v>44197</v>
      </c>
      <c r="C25" s="7">
        <f t="shared" si="1"/>
        <v>21077578.792977087</v>
      </c>
      <c r="D25" s="7">
        <f t="shared" si="2"/>
        <v>14236039.654762076</v>
      </c>
      <c r="E25" s="7">
        <f t="shared" si="3"/>
        <v>1496764.4740594684</v>
      </c>
      <c r="F25" s="7">
        <f t="shared" si="4"/>
        <v>3677239.7568193274</v>
      </c>
      <c r="G25" s="7">
        <f t="shared" si="5"/>
        <v>251913.32138204126</v>
      </c>
      <c r="H25" s="7">
        <f t="shared" si="6"/>
        <v>54743777</v>
      </c>
      <c r="I25" s="316">
        <v>40739536</v>
      </c>
    </row>
    <row r="26" spans="1:9">
      <c r="A26" s="545" t="s">
        <v>240</v>
      </c>
      <c r="B26" s="561">
        <v>44228</v>
      </c>
      <c r="C26" s="7">
        <f t="shared" si="1"/>
        <v>17157853.633713827</v>
      </c>
      <c r="D26" s="7">
        <f t="shared" si="2"/>
        <v>11737102.78748578</v>
      </c>
      <c r="E26" s="7">
        <f t="shared" si="3"/>
        <v>1296136.8179643804</v>
      </c>
      <c r="F26" s="7">
        <f t="shared" si="4"/>
        <v>3217183.4961526645</v>
      </c>
      <c r="G26" s="7">
        <f t="shared" si="5"/>
        <v>224761.26468335022</v>
      </c>
      <c r="H26" s="7">
        <f t="shared" si="6"/>
        <v>50453480</v>
      </c>
      <c r="I26" s="316">
        <v>33633038</v>
      </c>
    </row>
    <row r="27" spans="1:9">
      <c r="A27" s="545" t="s">
        <v>240</v>
      </c>
      <c r="B27" s="561">
        <v>44256</v>
      </c>
      <c r="C27" s="7">
        <f t="shared" si="1"/>
        <v>13282038.362450654</v>
      </c>
      <c r="D27" s="7">
        <f t="shared" si="2"/>
        <v>8900183.9866915569</v>
      </c>
      <c r="E27" s="7">
        <f t="shared" si="3"/>
        <v>1021449.8545052882</v>
      </c>
      <c r="F27" s="7">
        <f t="shared" si="4"/>
        <v>2509064.6371357664</v>
      </c>
      <c r="G27" s="7">
        <f t="shared" si="5"/>
        <v>172803.15921673324</v>
      </c>
      <c r="H27" s="7">
        <f t="shared" si="6"/>
        <v>65511452</v>
      </c>
      <c r="I27" s="316">
        <v>25885540</v>
      </c>
    </row>
    <row r="28" spans="1:9">
      <c r="A28" s="545" t="s">
        <v>240</v>
      </c>
      <c r="B28" s="561">
        <v>44287</v>
      </c>
      <c r="C28" s="7">
        <f t="shared" si="1"/>
        <v>8807395.5072405506</v>
      </c>
      <c r="D28" s="7">
        <f t="shared" si="2"/>
        <v>5411700.8687447244</v>
      </c>
      <c r="E28" s="7">
        <f t="shared" si="3"/>
        <v>713439.36145874311</v>
      </c>
      <c r="F28" s="7">
        <f t="shared" si="4"/>
        <v>1842826.076816492</v>
      </c>
      <c r="G28" s="7">
        <f t="shared" si="5"/>
        <v>119946.18573949015</v>
      </c>
      <c r="H28" s="7">
        <f t="shared" si="6"/>
        <v>55156149</v>
      </c>
      <c r="I28" s="316">
        <v>16895308</v>
      </c>
    </row>
    <row r="29" spans="1:9">
      <c r="A29" s="545" t="s">
        <v>240</v>
      </c>
      <c r="B29" s="561">
        <v>44317</v>
      </c>
      <c r="C29" s="7">
        <f t="shared" si="1"/>
        <v>6311495.8505623378</v>
      </c>
      <c r="D29" s="7">
        <f t="shared" si="2"/>
        <v>3829631.4085559305</v>
      </c>
      <c r="E29" s="7">
        <f t="shared" si="3"/>
        <v>661049.16983411042</v>
      </c>
      <c r="F29" s="7">
        <f t="shared" si="4"/>
        <v>1585827.863181564</v>
      </c>
      <c r="G29" s="7">
        <f t="shared" si="5"/>
        <v>129273.7078660571</v>
      </c>
      <c r="H29" s="7">
        <f t="shared" si="6"/>
        <v>32659120</v>
      </c>
      <c r="I29" s="316">
        <v>12517278</v>
      </c>
    </row>
    <row r="30" spans="1:9">
      <c r="A30" s="545" t="s">
        <v>240</v>
      </c>
      <c r="B30" s="561">
        <v>44348</v>
      </c>
      <c r="C30" s="7">
        <f t="shared" si="1"/>
        <v>4391559.8168132836</v>
      </c>
      <c r="D30" s="7">
        <f t="shared" si="2"/>
        <v>2773395.8188161249</v>
      </c>
      <c r="E30" s="7">
        <f t="shared" si="3"/>
        <v>559073.10997309186</v>
      </c>
      <c r="F30" s="7">
        <f t="shared" si="4"/>
        <v>1447343.0002320365</v>
      </c>
      <c r="G30" s="7">
        <f t="shared" si="5"/>
        <v>96074.254165462378</v>
      </c>
      <c r="H30" s="7">
        <f t="shared" si="6"/>
        <v>32721220</v>
      </c>
      <c r="I30" s="316">
        <v>9267446</v>
      </c>
    </row>
    <row r="31" spans="1:9">
      <c r="A31" s="545" t="s">
        <v>240</v>
      </c>
      <c r="B31" s="561">
        <v>44378</v>
      </c>
      <c r="C31" s="7">
        <f t="shared" si="1"/>
        <v>3843696.9836650006</v>
      </c>
      <c r="D31" s="7">
        <f t="shared" si="2"/>
        <v>2710803.2663992899</v>
      </c>
      <c r="E31" s="7">
        <f t="shared" si="3"/>
        <v>537146.39307567931</v>
      </c>
      <c r="F31" s="7">
        <f t="shared" si="4"/>
        <v>1481686.8641732628</v>
      </c>
      <c r="G31" s="7">
        <f t="shared" si="5"/>
        <v>101594.49268676749</v>
      </c>
      <c r="H31" s="7">
        <f t="shared" si="6"/>
        <v>46005530</v>
      </c>
      <c r="I31" s="316">
        <v>8674928</v>
      </c>
    </row>
    <row r="32" spans="1:9">
      <c r="A32" s="545" t="s">
        <v>240</v>
      </c>
      <c r="B32" s="561">
        <v>44409</v>
      </c>
      <c r="C32" s="7">
        <f>(+C20/I20)*I32</f>
        <v>3456836.8080264605</v>
      </c>
      <c r="D32" s="7">
        <f>(+D20/I20)*I32</f>
        <v>3477797.5787699302</v>
      </c>
      <c r="E32" s="7">
        <f>(+E20/I20)*I32</f>
        <v>703057.16115155804</v>
      </c>
      <c r="F32" s="7">
        <f>(+F20/I20)*I32</f>
        <v>936391.01111616916</v>
      </c>
      <c r="G32" s="7">
        <f>(+G20/I20)*I32</f>
        <v>116626.44093588241</v>
      </c>
      <c r="H32" s="7">
        <f>+H20</f>
        <v>69462063</v>
      </c>
      <c r="I32" s="316">
        <v>8690709</v>
      </c>
    </row>
    <row r="33" spans="1:9">
      <c r="A33" s="545" t="s">
        <v>240</v>
      </c>
      <c r="B33" s="561">
        <v>44440</v>
      </c>
      <c r="C33" s="7">
        <f>(+C21/I21)*I33</f>
        <v>4591448.8719286192</v>
      </c>
      <c r="D33" s="7">
        <f>(+D21/I21)*I33</f>
        <v>4559006.7020935267</v>
      </c>
      <c r="E33" s="7">
        <f>(+E21/I21)*I33</f>
        <v>1112080.7391042318</v>
      </c>
      <c r="F33" s="7">
        <f>(+F21/I21)*I33</f>
        <v>1122224.4606609766</v>
      </c>
      <c r="G33" s="7">
        <f>(+G21/I21)*I33</f>
        <v>190786.22621264574</v>
      </c>
      <c r="H33" s="7">
        <f>+H21</f>
        <v>66432032</v>
      </c>
      <c r="I33" s="316">
        <v>11575547</v>
      </c>
    </row>
    <row r="34" spans="1:9">
      <c r="A34" s="545" t="s">
        <v>240</v>
      </c>
      <c r="B34" s="561">
        <v>44470</v>
      </c>
      <c r="C34" s="7">
        <f>(+C22/I22)*I34</f>
        <v>7647400.3148264885</v>
      </c>
      <c r="D34" s="7">
        <f>(+D22/I22)*I34</f>
        <v>5830710.2029414633</v>
      </c>
      <c r="E34" s="7">
        <f>(+E22/I22)*I34</f>
        <v>3152010.1248495849</v>
      </c>
      <c r="F34" s="7">
        <f>(+F22/I22)*I34</f>
        <v>1313673.187327438</v>
      </c>
      <c r="G34" s="7">
        <f>(+G22/I22)*I34</f>
        <v>280044.17005502473</v>
      </c>
      <c r="H34" s="7">
        <f>+H22</f>
        <v>47040455</v>
      </c>
      <c r="I34" s="316">
        <v>18223838</v>
      </c>
    </row>
    <row r="35" spans="1:9">
      <c r="B35" s="199" t="s">
        <v>239</v>
      </c>
      <c r="C35" s="7">
        <f t="shared" ref="C35:H35" si="7">SUM(C23:C34)</f>
        <v>127118966.08439983</v>
      </c>
      <c r="D35" s="7">
        <f t="shared" si="7"/>
        <v>88299944.040802553</v>
      </c>
      <c r="E35" s="7">
        <f t="shared" si="7"/>
        <v>14482049.656409066</v>
      </c>
      <c r="F35" s="7">
        <f t="shared" si="7"/>
        <v>27088723.120386221</v>
      </c>
      <c r="G35" s="7">
        <f t="shared" si="7"/>
        <v>2291417.0980023355</v>
      </c>
      <c r="H35" s="7">
        <f t="shared" si="7"/>
        <v>629818145</v>
      </c>
      <c r="I35" s="7">
        <f>SUM(I23:I34)</f>
        <v>259281100</v>
      </c>
    </row>
    <row r="36" spans="1:9">
      <c r="B36"/>
      <c r="C36" s="531">
        <v>1</v>
      </c>
      <c r="D36" s="531">
        <v>2</v>
      </c>
      <c r="E36" s="531">
        <v>3</v>
      </c>
      <c r="F36" s="531">
        <v>4</v>
      </c>
      <c r="G36" s="531">
        <v>5</v>
      </c>
      <c r="H36" s="531">
        <v>6</v>
      </c>
      <c r="I36" s="532">
        <v>7</v>
      </c>
    </row>
    <row r="37" spans="1:9">
      <c r="B37" s="41"/>
      <c r="C37" s="4"/>
      <c r="D37" s="4"/>
      <c r="E37" s="4"/>
      <c r="G37" s="44"/>
      <c r="H37" s="44"/>
      <c r="I37" s="6"/>
    </row>
    <row r="38" spans="1:9" hidden="1">
      <c r="B38" s="41"/>
      <c r="C38" s="4"/>
      <c r="D38" s="4"/>
      <c r="E38" s="4"/>
      <c r="G38" s="1"/>
      <c r="H38" s="1"/>
      <c r="I38" s="6"/>
    </row>
    <row r="39" spans="1:9" hidden="1">
      <c r="B39" s="41"/>
      <c r="C39" s="4"/>
      <c r="D39" s="4"/>
      <c r="E39" s="4"/>
      <c r="G39" s="1"/>
      <c r="H39" s="1"/>
      <c r="I39" s="45"/>
    </row>
    <row r="40" spans="1:9" hidden="1">
      <c r="B40" s="41"/>
      <c r="C40" s="4"/>
      <c r="D40" s="4"/>
      <c r="E40" s="4"/>
      <c r="G40" s="1"/>
      <c r="H40" s="1"/>
      <c r="I40" s="45"/>
    </row>
    <row r="41" spans="1:9" hidden="1">
      <c r="B41" s="41"/>
      <c r="C41" s="4"/>
      <c r="D41" s="4"/>
      <c r="E41" s="4"/>
      <c r="G41" s="1"/>
      <c r="H41" s="1"/>
      <c r="I41" s="6"/>
    </row>
    <row r="42" spans="1:9" hidden="1">
      <c r="B42" s="41"/>
      <c r="C42" s="4"/>
      <c r="D42" s="4"/>
      <c r="E42" s="4"/>
      <c r="G42" s="1"/>
      <c r="H42" s="1"/>
      <c r="I42" s="6"/>
    </row>
    <row r="43" spans="1:9" hidden="1">
      <c r="B43" s="41"/>
      <c r="C43" s="4"/>
      <c r="D43" s="4"/>
      <c r="E43" s="4"/>
      <c r="G43" s="1"/>
      <c r="H43" s="1"/>
      <c r="I43" s="6"/>
    </row>
    <row r="44" spans="1:9" hidden="1">
      <c r="B44" s="41"/>
      <c r="C44" s="4"/>
      <c r="D44" s="4"/>
      <c r="E44" s="4"/>
      <c r="G44" s="1"/>
      <c r="H44" s="1"/>
      <c r="I44" s="6"/>
    </row>
    <row r="45" spans="1:9">
      <c r="B45" s="41"/>
      <c r="C45" s="4"/>
      <c r="D45" s="4"/>
      <c r="E45" s="4"/>
      <c r="G45" s="1"/>
      <c r="H45" s="1"/>
      <c r="I45" s="6"/>
    </row>
    <row r="46" spans="1:9">
      <c r="B46" s="41"/>
      <c r="C46" s="4"/>
      <c r="D46" s="4"/>
      <c r="E46" s="4"/>
      <c r="G46" s="1"/>
      <c r="H46" s="1"/>
      <c r="I46" s="6"/>
    </row>
    <row r="47" spans="1:9">
      <c r="B47" s="41"/>
      <c r="C47" s="4"/>
      <c r="D47" s="4"/>
      <c r="E47" s="4"/>
    </row>
  </sheetData>
  <mergeCells count="4">
    <mergeCell ref="B1:I1"/>
    <mergeCell ref="B2:I2"/>
    <mergeCell ref="B3:I3"/>
    <mergeCell ref="B4:I4"/>
  </mergeCells>
  <phoneticPr fontId="23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">
    <pageSetUpPr fitToPage="1"/>
  </sheetPr>
  <dimension ref="A1:P89"/>
  <sheetViews>
    <sheetView zoomScaleNormal="100" workbookViewId="0">
      <pane xSplit="5" ySplit="4" topLeftCell="F26" activePane="bottomRight" state="frozen"/>
      <selection activeCell="V23" sqref="V23"/>
      <selection pane="topRight" activeCell="V23" sqref="V23"/>
      <selection pane="bottomLeft" activeCell="V23" sqref="V23"/>
      <selection pane="bottomRight" activeCell="F35" sqref="F35"/>
    </sheetView>
  </sheetViews>
  <sheetFormatPr defaultColWidth="12" defaultRowHeight="15" outlineLevelRow="1"/>
  <cols>
    <col min="1" max="1" width="1.6640625" style="47" customWidth="1"/>
    <col min="2" max="2" width="5.83203125" style="62" customWidth="1"/>
    <col min="3" max="3" width="15.5" style="47" customWidth="1"/>
    <col min="4" max="4" width="20" style="47" customWidth="1"/>
    <col min="5" max="5" width="10.6640625" style="62" bestFit="1" customWidth="1"/>
    <col min="6" max="6" width="13.6640625" style="47" bestFit="1" customWidth="1"/>
    <col min="7" max="7" width="16.5" style="47" customWidth="1"/>
    <col min="8" max="8" width="2.33203125" style="54" customWidth="1"/>
    <col min="9" max="9" width="18.1640625" style="47" customWidth="1"/>
    <col min="10" max="11" width="2.33203125" style="54" customWidth="1"/>
    <col min="12" max="12" width="4" style="47" customWidth="1"/>
    <col min="13" max="13" width="16.6640625" style="47" bestFit="1" customWidth="1"/>
    <col min="14" max="15" width="15" style="47" bestFit="1" customWidth="1"/>
    <col min="16" max="16" width="5.6640625" style="47" customWidth="1"/>
    <col min="17" max="16384" width="12" style="47"/>
  </cols>
  <sheetData>
    <row r="1" spans="1:16" ht="18" customHeight="1">
      <c r="A1" s="57"/>
      <c r="C1" s="597" t="s">
        <v>53</v>
      </c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4"/>
    </row>
    <row r="2" spans="1:16">
      <c r="C2" s="608" t="s">
        <v>259</v>
      </c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54"/>
    </row>
    <row r="3" spans="1:16">
      <c r="C3" s="608" t="s">
        <v>261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54"/>
    </row>
    <row r="4" spans="1:16">
      <c r="C4" s="597" t="s">
        <v>55</v>
      </c>
      <c r="D4" s="615"/>
      <c r="E4" s="615"/>
      <c r="F4" s="615"/>
      <c r="G4" s="615"/>
      <c r="H4" s="615"/>
      <c r="I4" s="615"/>
      <c r="J4" s="615"/>
      <c r="K4" s="615"/>
      <c r="M4" s="54"/>
      <c r="N4" s="63" t="s">
        <v>180</v>
      </c>
      <c r="O4" s="54"/>
      <c r="P4" s="54"/>
    </row>
    <row r="5" spans="1:16" ht="6" customHeight="1">
      <c r="M5" s="54"/>
      <c r="N5" s="54"/>
      <c r="O5" s="54"/>
      <c r="P5" s="54"/>
    </row>
    <row r="6" spans="1:16">
      <c r="B6" s="138"/>
      <c r="C6" s="139"/>
      <c r="D6" s="139"/>
      <c r="E6" s="138"/>
      <c r="F6" s="140"/>
      <c r="G6" s="140"/>
      <c r="I6" s="140"/>
      <c r="M6" s="142" t="s">
        <v>57</v>
      </c>
      <c r="N6" s="141"/>
      <c r="O6" s="141"/>
      <c r="P6" s="54"/>
    </row>
    <row r="7" spans="1:16">
      <c r="B7" s="48" t="s">
        <v>7</v>
      </c>
      <c r="C7" s="49"/>
      <c r="D7" s="49"/>
      <c r="E7" s="48" t="s">
        <v>52</v>
      </c>
      <c r="F7" s="48" t="s">
        <v>58</v>
      </c>
      <c r="G7" s="48" t="s">
        <v>59</v>
      </c>
      <c r="H7" s="49"/>
      <c r="I7" s="48" t="s">
        <v>60</v>
      </c>
      <c r="J7" s="49"/>
      <c r="K7" s="49"/>
      <c r="M7" s="143" t="s">
        <v>180</v>
      </c>
      <c r="N7" s="48" t="s">
        <v>61</v>
      </c>
      <c r="O7" s="48" t="s">
        <v>62</v>
      </c>
      <c r="P7" s="54"/>
    </row>
    <row r="8" spans="1:16">
      <c r="B8" s="48" t="s">
        <v>10</v>
      </c>
      <c r="C8" s="134"/>
      <c r="D8" s="49" t="s">
        <v>0</v>
      </c>
      <c r="E8" s="48" t="s">
        <v>63</v>
      </c>
      <c r="F8" s="48" t="s">
        <v>64</v>
      </c>
      <c r="G8" s="48" t="s">
        <v>65</v>
      </c>
      <c r="H8" s="49"/>
      <c r="I8" s="48" t="s">
        <v>66</v>
      </c>
      <c r="J8" s="49"/>
      <c r="K8" s="49"/>
      <c r="M8" s="143" t="s">
        <v>67</v>
      </c>
      <c r="N8" s="48" t="s">
        <v>67</v>
      </c>
      <c r="O8" s="48" t="s">
        <v>67</v>
      </c>
      <c r="P8" s="54"/>
    </row>
    <row r="9" spans="1:16">
      <c r="B9" s="144"/>
      <c r="C9" s="134"/>
      <c r="D9" s="49" t="s">
        <v>15</v>
      </c>
      <c r="E9" s="145" t="s">
        <v>16</v>
      </c>
      <c r="F9" s="145" t="s">
        <v>17</v>
      </c>
      <c r="G9" s="145" t="s">
        <v>18</v>
      </c>
      <c r="H9" s="49"/>
      <c r="I9" s="145" t="s">
        <v>68</v>
      </c>
      <c r="J9" s="49"/>
      <c r="K9" s="49"/>
      <c r="M9" s="146" t="s">
        <v>107</v>
      </c>
      <c r="N9" s="145" t="s">
        <v>69</v>
      </c>
      <c r="O9" s="145" t="s">
        <v>70</v>
      </c>
      <c r="P9" s="54"/>
    </row>
    <row r="10" spans="1:16" s="54" customFormat="1">
      <c r="B10" s="147"/>
      <c r="C10" s="148" t="s">
        <v>72</v>
      </c>
      <c r="D10" s="149"/>
      <c r="E10" s="147"/>
      <c r="F10" s="149"/>
      <c r="G10" s="149"/>
      <c r="I10" s="309"/>
      <c r="M10" s="150"/>
      <c r="N10" s="149"/>
      <c r="O10" s="149"/>
    </row>
    <row r="11" spans="1:16">
      <c r="B11" s="138">
        <v>1</v>
      </c>
      <c r="C11" s="113" t="s">
        <v>73</v>
      </c>
      <c r="D11" s="151"/>
      <c r="E11" s="152"/>
      <c r="F11" s="139"/>
      <c r="G11" s="141"/>
      <c r="I11" s="141"/>
      <c r="M11" s="319"/>
      <c r="N11" s="141"/>
      <c r="O11" s="141"/>
      <c r="P11" s="54"/>
    </row>
    <row r="12" spans="1:16">
      <c r="B12" s="48">
        <v>2</v>
      </c>
      <c r="C12" s="153" t="s">
        <v>147</v>
      </c>
      <c r="D12" s="50"/>
      <c r="E12" s="51" t="s">
        <v>76</v>
      </c>
      <c r="F12" s="535">
        <v>193657</v>
      </c>
      <c r="G12" s="535">
        <v>127469237</v>
      </c>
      <c r="H12" s="155"/>
      <c r="I12" s="137">
        <v>130754889.53</v>
      </c>
      <c r="K12" s="155"/>
      <c r="M12" s="181">
        <f>+'CPA Proposed Rate 596'!F12</f>
        <v>-1.9999999999999185E-5</v>
      </c>
      <c r="N12" s="154">
        <f>+G12*M12</f>
        <v>-2549.3847399998963</v>
      </c>
      <c r="O12" s="308">
        <f>N12/I12</f>
        <v>-1.9497433320954114E-5</v>
      </c>
      <c r="P12" s="54"/>
    </row>
    <row r="13" spans="1:16">
      <c r="B13" s="48">
        <v>3</v>
      </c>
      <c r="C13" s="153"/>
      <c r="D13" s="50"/>
      <c r="E13" s="51"/>
      <c r="F13" s="535"/>
      <c r="G13" s="154"/>
      <c r="I13" s="536"/>
      <c r="M13" s="181"/>
      <c r="N13" s="154"/>
      <c r="O13" s="308"/>
      <c r="P13" s="54"/>
    </row>
    <row r="14" spans="1:16">
      <c r="B14" s="48">
        <v>4</v>
      </c>
      <c r="C14" s="153"/>
      <c r="D14" s="50"/>
      <c r="E14" s="51"/>
      <c r="F14" s="535"/>
      <c r="G14" s="154"/>
      <c r="I14" s="137"/>
      <c r="M14" s="181"/>
      <c r="N14" s="154"/>
      <c r="O14" s="308"/>
      <c r="P14" s="54"/>
    </row>
    <row r="15" spans="1:16">
      <c r="B15" s="48">
        <v>5</v>
      </c>
      <c r="C15" s="317" t="s">
        <v>219</v>
      </c>
      <c r="D15" s="50"/>
      <c r="E15" s="114">
        <v>503</v>
      </c>
      <c r="F15" s="535"/>
      <c r="G15" s="154">
        <v>786164</v>
      </c>
      <c r="H15" s="155"/>
      <c r="I15" s="137">
        <v>710075.11</v>
      </c>
      <c r="J15" s="155"/>
      <c r="K15" s="155"/>
      <c r="M15" s="181"/>
      <c r="N15" s="154"/>
      <c r="O15" s="308"/>
      <c r="P15" s="54"/>
    </row>
    <row r="16" spans="1:16">
      <c r="B16" s="48">
        <v>6</v>
      </c>
      <c r="C16" s="318" t="s">
        <v>220</v>
      </c>
      <c r="D16" s="156"/>
      <c r="E16" s="157">
        <v>503</v>
      </c>
      <c r="F16" s="537"/>
      <c r="G16" s="538">
        <v>-2058587</v>
      </c>
      <c r="H16" s="155"/>
      <c r="I16" s="538">
        <v>-1680445.15</v>
      </c>
      <c r="J16" s="155"/>
      <c r="K16" s="155"/>
      <c r="M16" s="181"/>
      <c r="N16" s="154"/>
      <c r="O16" s="308"/>
      <c r="P16" s="54"/>
    </row>
    <row r="17" spans="2:16" s="166" customFormat="1">
      <c r="B17" s="48">
        <v>7</v>
      </c>
      <c r="C17" s="158" t="s">
        <v>155</v>
      </c>
      <c r="D17" s="183"/>
      <c r="E17" s="160"/>
      <c r="F17" s="539">
        <f>SUM(F12:F16)</f>
        <v>193657</v>
      </c>
      <c r="G17" s="161">
        <f>SUM(G12:G16)</f>
        <v>126196814</v>
      </c>
      <c r="H17" s="162"/>
      <c r="I17" s="540">
        <f>SUM(I12:I16)</f>
        <v>129784519.48999999</v>
      </c>
      <c r="J17" s="162"/>
      <c r="K17" s="162"/>
      <c r="M17" s="163"/>
      <c r="N17" s="164">
        <f>SUM(N12:N16)</f>
        <v>-2549.3847399998963</v>
      </c>
      <c r="O17" s="165">
        <f>+N17/I17</f>
        <v>-1.9643211301455165E-5</v>
      </c>
      <c r="P17" s="63"/>
    </row>
    <row r="18" spans="2:16">
      <c r="B18" s="138">
        <v>8</v>
      </c>
      <c r="C18" s="113" t="s">
        <v>81</v>
      </c>
      <c r="D18" s="50"/>
      <c r="E18" s="114"/>
      <c r="F18" s="155"/>
      <c r="G18" s="154"/>
      <c r="H18" s="155"/>
      <c r="I18" s="310"/>
      <c r="K18" s="155"/>
      <c r="M18" s="180"/>
      <c r="N18" s="52"/>
      <c r="O18" s="167"/>
      <c r="P18" s="54"/>
    </row>
    <row r="19" spans="2:16">
      <c r="B19" s="138">
        <v>9</v>
      </c>
      <c r="C19" s="66" t="s">
        <v>147</v>
      </c>
      <c r="D19" s="50"/>
      <c r="E19" s="51" t="s">
        <v>82</v>
      </c>
      <c r="F19" s="155">
        <f>26657+1</f>
        <v>26658</v>
      </c>
      <c r="G19" s="154">
        <v>87178722</v>
      </c>
      <c r="H19" s="155"/>
      <c r="I19" s="137">
        <v>80247678.329999998</v>
      </c>
      <c r="K19" s="155"/>
      <c r="M19" s="181">
        <f>'CPA Proposed Rate 596'!$F$13</f>
        <v>-1.9999999999999185E-5</v>
      </c>
      <c r="N19" s="52">
        <f>+G19*M19</f>
        <v>-1743.5744399999289</v>
      </c>
      <c r="O19" s="308">
        <f>+N19/I19</f>
        <v>-2.1727412883272247E-5</v>
      </c>
      <c r="P19" s="54"/>
    </row>
    <row r="20" spans="2:16">
      <c r="B20" s="48">
        <v>10</v>
      </c>
      <c r="C20" s="66" t="s">
        <v>148</v>
      </c>
      <c r="D20" s="50"/>
      <c r="E20" s="51" t="s">
        <v>84</v>
      </c>
      <c r="F20" s="155">
        <f>75+7</f>
        <v>82</v>
      </c>
      <c r="G20" s="154">
        <v>23135272</v>
      </c>
      <c r="I20" s="137">
        <v>15658886.130000001</v>
      </c>
      <c r="M20" s="181">
        <f>+'CPA Proposed Rate 596'!F14</f>
        <v>-1.9999999999999185E-5</v>
      </c>
      <c r="N20" s="52">
        <f>+G20*M20</f>
        <v>-462.70543999998114</v>
      </c>
      <c r="O20" s="308">
        <f>+N20/I20</f>
        <v>-2.9549064739254293E-5</v>
      </c>
      <c r="P20" s="54"/>
    </row>
    <row r="21" spans="2:16">
      <c r="B21" s="48">
        <v>11</v>
      </c>
      <c r="C21" s="66"/>
      <c r="D21" s="50"/>
      <c r="E21" s="51"/>
      <c r="F21" s="155"/>
      <c r="G21" s="154"/>
      <c r="I21" s="137"/>
      <c r="M21" s="181"/>
      <c r="N21" s="52"/>
      <c r="O21" s="308"/>
      <c r="P21" s="54"/>
    </row>
    <row r="22" spans="2:16">
      <c r="B22" s="48">
        <v>12</v>
      </c>
      <c r="C22" s="168" t="s">
        <v>219</v>
      </c>
      <c r="D22" s="50"/>
      <c r="E22" s="114">
        <v>504</v>
      </c>
      <c r="F22" s="54"/>
      <c r="G22" s="154">
        <v>802150</v>
      </c>
      <c r="H22" s="155"/>
      <c r="I22" s="154">
        <v>662383.47</v>
      </c>
      <c r="J22" s="155"/>
      <c r="K22" s="155"/>
      <c r="M22" s="181"/>
      <c r="N22" s="52"/>
      <c r="O22" s="308"/>
      <c r="P22" s="54"/>
    </row>
    <row r="23" spans="2:16">
      <c r="B23" s="48">
        <v>13</v>
      </c>
      <c r="C23" s="168" t="s">
        <v>220</v>
      </c>
      <c r="D23" s="50"/>
      <c r="E23" s="114">
        <v>504</v>
      </c>
      <c r="F23" s="54"/>
      <c r="G23" s="154">
        <v>-2184086</v>
      </c>
      <c r="H23" s="155"/>
      <c r="I23" s="154">
        <v>-1647693.91</v>
      </c>
      <c r="J23" s="155"/>
      <c r="K23" s="155"/>
      <c r="M23" s="181"/>
      <c r="N23" s="52"/>
      <c r="O23" s="308"/>
      <c r="P23" s="54"/>
    </row>
    <row r="24" spans="2:16">
      <c r="B24" s="48">
        <v>14</v>
      </c>
      <c r="C24" s="168" t="s">
        <v>219</v>
      </c>
      <c r="D24" s="50"/>
      <c r="E24" s="114">
        <v>511</v>
      </c>
      <c r="F24" s="54"/>
      <c r="G24" s="154">
        <v>669108</v>
      </c>
      <c r="H24" s="155"/>
      <c r="I24" s="154">
        <v>448033.25</v>
      </c>
      <c r="J24" s="155"/>
      <c r="K24" s="155"/>
      <c r="M24" s="181"/>
      <c r="N24" s="52"/>
      <c r="O24" s="308"/>
      <c r="P24" s="54"/>
    </row>
    <row r="25" spans="2:16">
      <c r="B25" s="48">
        <v>15</v>
      </c>
      <c r="C25" s="168" t="s">
        <v>220</v>
      </c>
      <c r="D25" s="50"/>
      <c r="E25" s="114">
        <v>511</v>
      </c>
      <c r="F25" s="54"/>
      <c r="G25" s="154">
        <v>-1688999</v>
      </c>
      <c r="H25" s="155"/>
      <c r="I25" s="154">
        <v>-971048</v>
      </c>
      <c r="J25" s="155"/>
      <c r="K25" s="155"/>
      <c r="M25" s="181"/>
      <c r="N25" s="52"/>
      <c r="O25" s="308"/>
      <c r="P25" s="54"/>
    </row>
    <row r="26" spans="2:16">
      <c r="B26" s="48">
        <v>16</v>
      </c>
      <c r="C26" s="66" t="s">
        <v>149</v>
      </c>
      <c r="D26" s="50"/>
      <c r="E26" s="114"/>
      <c r="F26" s="155"/>
      <c r="G26" s="154">
        <v>0</v>
      </c>
      <c r="H26" s="155"/>
      <c r="I26" s="538"/>
      <c r="K26" s="155"/>
      <c r="M26" s="181">
        <v>0</v>
      </c>
      <c r="N26" s="52"/>
      <c r="O26" s="93"/>
      <c r="P26" s="54"/>
    </row>
    <row r="27" spans="2:16" s="166" customFormat="1">
      <c r="B27" s="48">
        <v>17</v>
      </c>
      <c r="C27" s="158" t="s">
        <v>154</v>
      </c>
      <c r="D27" s="159"/>
      <c r="E27" s="160"/>
      <c r="F27" s="539">
        <f>SUM(F19:F26)</f>
        <v>26740</v>
      </c>
      <c r="G27" s="161">
        <f>SUM(G19:G26)</f>
        <v>107912167</v>
      </c>
      <c r="H27" s="162"/>
      <c r="I27" s="540">
        <f>SUM(I19:I26)</f>
        <v>94398239.269999996</v>
      </c>
      <c r="J27" s="162"/>
      <c r="K27" s="162"/>
      <c r="M27" s="169"/>
      <c r="N27" s="164">
        <f>SUM(N19:N26)</f>
        <v>-2206.27987999991</v>
      </c>
      <c r="O27" s="165">
        <f>N27/I27</f>
        <v>-2.3372044829029682E-5</v>
      </c>
      <c r="P27" s="63"/>
    </row>
    <row r="28" spans="2:16">
      <c r="B28" s="48">
        <v>18</v>
      </c>
      <c r="C28" s="113" t="s">
        <v>85</v>
      </c>
      <c r="D28" s="50"/>
      <c r="E28" s="114"/>
      <c r="F28" s="155"/>
      <c r="G28" s="154"/>
      <c r="H28" s="155"/>
      <c r="I28" s="310"/>
      <c r="K28" s="155"/>
      <c r="M28" s="181"/>
      <c r="N28" s="52"/>
      <c r="O28" s="93"/>
      <c r="P28" s="54"/>
    </row>
    <row r="29" spans="2:16">
      <c r="B29" s="48">
        <v>19</v>
      </c>
      <c r="C29" s="66" t="s">
        <v>147</v>
      </c>
      <c r="D29" s="50"/>
      <c r="E29" s="51" t="s">
        <v>86</v>
      </c>
      <c r="F29" s="155">
        <v>480</v>
      </c>
      <c r="G29" s="154">
        <v>12314848</v>
      </c>
      <c r="H29" s="155"/>
      <c r="I29" s="310">
        <v>9601453</v>
      </c>
      <c r="K29" s="155"/>
      <c r="M29" s="181">
        <f>+'CPA Proposed Rate 596'!F15</f>
        <v>-1.9999999999999185E-5</v>
      </c>
      <c r="N29" s="52">
        <f>+G29*M29</f>
        <v>-246.29695999998995</v>
      </c>
      <c r="O29" s="93">
        <f>+N29/I29</f>
        <v>-2.5652050788561891E-5</v>
      </c>
      <c r="P29" s="54"/>
    </row>
    <row r="30" spans="2:16">
      <c r="B30" s="48">
        <v>20</v>
      </c>
      <c r="C30" s="66" t="s">
        <v>148</v>
      </c>
      <c r="D30" s="50"/>
      <c r="E30" s="51" t="s">
        <v>84</v>
      </c>
      <c r="F30" s="155">
        <v>16</v>
      </c>
      <c r="G30" s="154">
        <v>4580018</v>
      </c>
      <c r="I30" s="310">
        <v>3141415</v>
      </c>
      <c r="M30" s="181">
        <f>+M20</f>
        <v>-1.9999999999999185E-5</v>
      </c>
      <c r="N30" s="52">
        <f>+G30*M30</f>
        <v>-91.600359999996272</v>
      </c>
      <c r="O30" s="93">
        <f>+N30/I30</f>
        <v>-2.9158949072311769E-5</v>
      </c>
      <c r="P30" s="54"/>
    </row>
    <row r="31" spans="2:16" s="62" customFormat="1">
      <c r="B31" s="48">
        <v>21</v>
      </c>
      <c r="C31" s="49"/>
      <c r="D31" s="114"/>
      <c r="E31" s="51"/>
      <c r="F31" s="566"/>
      <c r="G31" s="567"/>
      <c r="H31" s="284"/>
      <c r="I31" s="562"/>
      <c r="J31" s="284"/>
      <c r="K31" s="284"/>
      <c r="M31" s="563"/>
      <c r="N31" s="564"/>
      <c r="O31" s="565"/>
      <c r="P31" s="284"/>
    </row>
    <row r="32" spans="2:16" s="166" customFormat="1">
      <c r="B32" s="48">
        <v>22</v>
      </c>
      <c r="C32" s="158" t="s">
        <v>153</v>
      </c>
      <c r="D32" s="159"/>
      <c r="E32" s="160"/>
      <c r="F32" s="161">
        <f>SUM(F29:F31)</f>
        <v>496</v>
      </c>
      <c r="G32" s="161">
        <f>SUM(G29:G31)</f>
        <v>16894866</v>
      </c>
      <c r="H32" s="162"/>
      <c r="I32" s="161">
        <f>SUM(I29:I31)</f>
        <v>12742868</v>
      </c>
      <c r="J32" s="162"/>
      <c r="K32" s="162"/>
      <c r="M32" s="169"/>
      <c r="N32" s="161">
        <f>SUM(N29:N31)</f>
        <v>-337.89731999998622</v>
      </c>
      <c r="O32" s="165">
        <f>+N32/I32</f>
        <v>-2.6516583236990779E-5</v>
      </c>
      <c r="P32" s="63"/>
    </row>
    <row r="33" spans="2:16">
      <c r="B33" s="48">
        <v>23</v>
      </c>
      <c r="C33" s="113" t="s">
        <v>13</v>
      </c>
      <c r="D33" s="50"/>
      <c r="E33" s="114"/>
      <c r="F33" s="155"/>
      <c r="G33" s="154"/>
      <c r="H33" s="155"/>
      <c r="I33" s="310"/>
      <c r="K33" s="155"/>
      <c r="M33" s="181"/>
      <c r="N33" s="52"/>
      <c r="O33" s="93"/>
      <c r="P33" s="54"/>
    </row>
    <row r="34" spans="2:16">
      <c r="B34" s="48">
        <v>24</v>
      </c>
      <c r="C34" s="66" t="s">
        <v>144</v>
      </c>
      <c r="D34" s="50"/>
      <c r="E34" s="51" t="s">
        <v>87</v>
      </c>
      <c r="F34" s="155">
        <v>8</v>
      </c>
      <c r="G34" s="154">
        <f>2444+2195123</f>
        <v>2197567</v>
      </c>
      <c r="H34" s="155"/>
      <c r="I34" s="310">
        <f>2544+1420453</f>
        <v>1422997</v>
      </c>
      <c r="K34" s="155"/>
      <c r="M34" s="181">
        <f>+'CPA Proposed Rate 596'!F16</f>
        <v>-1.9999999999999185E-5</v>
      </c>
      <c r="N34" s="52">
        <f>+G34*M34</f>
        <v>-43.951339999998211</v>
      </c>
      <c r="O34" s="93">
        <f>+N34/I34</f>
        <v>-3.0886460055782419E-5</v>
      </c>
      <c r="P34" s="54"/>
    </row>
    <row r="35" spans="2:16">
      <c r="B35" s="48">
        <v>25</v>
      </c>
      <c r="C35" s="66" t="s">
        <v>219</v>
      </c>
      <c r="D35" s="50"/>
      <c r="E35" s="51">
        <v>570</v>
      </c>
      <c r="F35" s="155"/>
      <c r="G35" s="154">
        <v>106383</v>
      </c>
      <c r="I35" s="310">
        <f>60+72728</f>
        <v>72788</v>
      </c>
      <c r="M35" s="181"/>
      <c r="N35" s="52"/>
      <c r="O35" s="93"/>
      <c r="P35" s="54"/>
    </row>
    <row r="36" spans="2:16">
      <c r="B36" s="48">
        <v>26</v>
      </c>
      <c r="C36" s="66" t="s">
        <v>220</v>
      </c>
      <c r="D36" s="50"/>
      <c r="E36" s="51">
        <v>570</v>
      </c>
      <c r="F36" s="155"/>
      <c r="G36" s="154">
        <f>-163-120028</f>
        <v>-120191</v>
      </c>
      <c r="I36" s="310">
        <f>-176-73974</f>
        <v>-74150</v>
      </c>
      <c r="M36" s="181"/>
      <c r="N36" s="52"/>
      <c r="O36" s="93"/>
      <c r="P36" s="54"/>
    </row>
    <row r="37" spans="2:16">
      <c r="B37" s="48">
        <v>27</v>
      </c>
      <c r="C37" s="66"/>
      <c r="D37" s="50"/>
      <c r="E37" s="51"/>
      <c r="F37" s="155"/>
      <c r="G37" s="154"/>
      <c r="I37" s="310"/>
      <c r="M37" s="181"/>
      <c r="N37" s="52"/>
      <c r="O37" s="93"/>
      <c r="P37" s="54"/>
    </row>
    <row r="38" spans="2:16">
      <c r="B38" s="48">
        <v>28</v>
      </c>
      <c r="C38" s="66"/>
      <c r="D38" s="50"/>
      <c r="E38" s="51"/>
      <c r="F38" s="155"/>
      <c r="G38" s="154"/>
      <c r="I38" s="310"/>
      <c r="M38" s="181"/>
      <c r="N38" s="52"/>
      <c r="O38" s="93"/>
      <c r="P38" s="54"/>
    </row>
    <row r="39" spans="2:16" s="166" customFormat="1">
      <c r="B39" s="48">
        <v>29</v>
      </c>
      <c r="C39" s="148" t="s">
        <v>150</v>
      </c>
      <c r="D39" s="159"/>
      <c r="E39" s="160"/>
      <c r="F39" s="539">
        <f>SUM(F34:F34)</f>
        <v>8</v>
      </c>
      <c r="G39" s="161">
        <f>SUM(G34:G36)</f>
        <v>2183759</v>
      </c>
      <c r="H39" s="162"/>
      <c r="I39" s="540">
        <f>+I34+I35+I36</f>
        <v>1421635</v>
      </c>
      <c r="J39" s="162"/>
      <c r="K39" s="162"/>
      <c r="M39" s="172"/>
      <c r="N39" s="164">
        <f>SUM(N34:N34)</f>
        <v>-43.951339999998211</v>
      </c>
      <c r="O39" s="165">
        <f>N39/I39</f>
        <v>-3.0916050885071208E-5</v>
      </c>
      <c r="P39" s="63"/>
    </row>
    <row r="40" spans="2:16" s="166" customFormat="1">
      <c r="B40" s="48">
        <v>30</v>
      </c>
      <c r="C40" s="173" t="s">
        <v>151</v>
      </c>
      <c r="D40" s="63"/>
      <c r="E40" s="174"/>
      <c r="F40" s="162">
        <f>+F39+F32+F27+F17</f>
        <v>220901</v>
      </c>
      <c r="G40" s="161">
        <f>G17+G27+G32+G39</f>
        <v>253187606</v>
      </c>
      <c r="H40" s="162"/>
      <c r="I40" s="540">
        <f>I17+I27+I32+I39</f>
        <v>238347261.75999999</v>
      </c>
      <c r="J40" s="162"/>
      <c r="K40" s="162"/>
      <c r="M40" s="322"/>
      <c r="N40" s="108">
        <f>N17+N27+N32+N39</f>
        <v>-5137.5132799997909</v>
      </c>
      <c r="O40" s="165">
        <f>N40/I40</f>
        <v>-2.1554740096712035E-5</v>
      </c>
      <c r="P40" s="63"/>
    </row>
    <row r="41" spans="2:16" s="54" customFormat="1">
      <c r="B41" s="147"/>
      <c r="C41" s="148" t="s">
        <v>91</v>
      </c>
      <c r="D41" s="149"/>
      <c r="E41" s="147"/>
      <c r="F41" s="309"/>
      <c r="G41" s="309"/>
      <c r="H41" s="155"/>
      <c r="I41" s="175"/>
      <c r="K41" s="155"/>
      <c r="M41" s="176"/>
      <c r="N41" s="176"/>
      <c r="O41" s="177"/>
    </row>
    <row r="42" spans="2:16">
      <c r="B42" s="140">
        <v>31</v>
      </c>
      <c r="C42" s="171" t="s">
        <v>9</v>
      </c>
      <c r="D42" s="50"/>
      <c r="E42" s="51"/>
      <c r="F42" s="155"/>
      <c r="G42" s="154"/>
      <c r="H42" s="178"/>
      <c r="I42" s="311"/>
      <c r="J42" s="171"/>
      <c r="K42" s="171"/>
      <c r="M42" s="181"/>
      <c r="N42" s="52"/>
      <c r="O42" s="179"/>
      <c r="P42" s="54"/>
    </row>
    <row r="43" spans="2:16">
      <c r="B43" s="48">
        <v>32</v>
      </c>
      <c r="C43" s="170" t="s">
        <v>146</v>
      </c>
      <c r="D43" s="50"/>
      <c r="E43" s="114"/>
      <c r="F43" s="155"/>
      <c r="G43" s="154"/>
      <c r="H43" s="178"/>
      <c r="I43" s="310"/>
      <c r="K43" s="155"/>
      <c r="M43" s="180"/>
      <c r="N43" s="52"/>
      <c r="O43" s="179"/>
      <c r="P43" s="54"/>
    </row>
    <row r="44" spans="2:16">
      <c r="B44" s="48">
        <v>33</v>
      </c>
      <c r="C44" s="66" t="s">
        <v>144</v>
      </c>
      <c r="D44" s="50"/>
      <c r="E44" s="51" t="s">
        <v>92</v>
      </c>
      <c r="F44" s="155">
        <v>188</v>
      </c>
      <c r="G44" s="154">
        <v>629818145</v>
      </c>
      <c r="H44" s="155"/>
      <c r="I44" s="310">
        <v>20168203</v>
      </c>
      <c r="J44" s="171"/>
      <c r="K44" s="155"/>
      <c r="M44" s="181"/>
      <c r="N44" s="52"/>
      <c r="O44" s="179"/>
      <c r="P44" s="54"/>
    </row>
    <row r="45" spans="2:16">
      <c r="B45" s="48">
        <v>34</v>
      </c>
      <c r="C45" s="66" t="s">
        <v>145</v>
      </c>
      <c r="D45" s="50"/>
      <c r="E45" s="51" t="s">
        <v>199</v>
      </c>
      <c r="F45" s="541">
        <v>7</v>
      </c>
      <c r="G45" s="538">
        <v>216766399</v>
      </c>
      <c r="I45" s="538">
        <v>4441400</v>
      </c>
      <c r="M45" s="109"/>
      <c r="N45" s="52"/>
      <c r="O45" s="179"/>
      <c r="P45" s="54"/>
    </row>
    <row r="46" spans="2:16" s="166" customFormat="1">
      <c r="B46" s="48">
        <v>35</v>
      </c>
      <c r="C46" s="182" t="s">
        <v>152</v>
      </c>
      <c r="D46" s="159"/>
      <c r="E46" s="174"/>
      <c r="F46" s="542">
        <f>SUM(F42:F45)</f>
        <v>195</v>
      </c>
      <c r="G46" s="543">
        <f>SUM(G42:G45)</f>
        <v>846584544</v>
      </c>
      <c r="H46" s="63"/>
      <c r="I46" s="544">
        <f>SUM(I42:I45)</f>
        <v>24609603</v>
      </c>
      <c r="J46" s="63"/>
      <c r="K46" s="63"/>
      <c r="M46" s="320"/>
      <c r="N46" s="184"/>
      <c r="O46" s="185"/>
      <c r="P46" s="63"/>
    </row>
    <row r="47" spans="2:16" s="166" customFormat="1">
      <c r="B47" s="145">
        <v>36</v>
      </c>
      <c r="C47" s="182" t="s">
        <v>93</v>
      </c>
      <c r="D47" s="186"/>
      <c r="E47" s="174"/>
      <c r="F47" s="542">
        <f>+F46+F40</f>
        <v>221096</v>
      </c>
      <c r="G47" s="543">
        <f>G40+G46</f>
        <v>1099772150</v>
      </c>
      <c r="H47" s="162"/>
      <c r="I47" s="540">
        <f>I40+I46</f>
        <v>262956864.75999999</v>
      </c>
      <c r="J47" s="162"/>
      <c r="K47" s="162"/>
      <c r="M47" s="321"/>
      <c r="N47" s="187">
        <f>N40+SUM(N42:N46)</f>
        <v>-5137.5132799997909</v>
      </c>
      <c r="O47" s="165">
        <f>N47/I47</f>
        <v>-1.9537475413272764E-5</v>
      </c>
      <c r="P47" s="63"/>
    </row>
    <row r="48" spans="2:16" s="54" customFormat="1" hidden="1" outlineLevel="1">
      <c r="B48" s="147"/>
      <c r="C48" s="148"/>
      <c r="D48" s="188"/>
      <c r="E48" s="125"/>
      <c r="F48" s="315"/>
      <c r="G48" s="315"/>
      <c r="H48" s="155"/>
      <c r="I48" s="175"/>
      <c r="K48" s="155"/>
      <c r="M48" s="110"/>
    </row>
    <row r="49" spans="2:16" collapsed="1">
      <c r="I49" s="55"/>
      <c r="K49" s="155"/>
      <c r="P49" s="54"/>
    </row>
    <row r="50" spans="2:16">
      <c r="B50" s="64"/>
      <c r="C50" s="56"/>
      <c r="D50" s="56"/>
      <c r="E50" s="92"/>
      <c r="F50" s="56"/>
      <c r="G50" s="56"/>
      <c r="H50" s="171"/>
      <c r="I50" s="56"/>
    </row>
    <row r="51" spans="2:16">
      <c r="B51" s="65"/>
      <c r="C51" s="57"/>
      <c r="D51" s="57"/>
      <c r="E51" s="59"/>
      <c r="F51" s="57"/>
      <c r="G51" s="57"/>
      <c r="H51" s="189"/>
      <c r="I51" s="57"/>
    </row>
    <row r="52" spans="2:16" ht="9" customHeight="1">
      <c r="B52" s="59"/>
      <c r="C52" s="57"/>
      <c r="D52" s="57"/>
      <c r="E52" s="59"/>
      <c r="F52" s="57"/>
      <c r="G52" s="57"/>
      <c r="H52" s="189"/>
      <c r="I52" s="57"/>
    </row>
    <row r="53" spans="2:16">
      <c r="B53" s="60"/>
      <c r="C53" s="58"/>
      <c r="D53" s="56"/>
      <c r="E53" s="92"/>
      <c r="F53" s="56"/>
      <c r="G53" s="56"/>
      <c r="H53" s="171"/>
      <c r="I53" s="56"/>
    </row>
    <row r="54" spans="2:16">
      <c r="B54" s="60"/>
      <c r="C54" s="58"/>
      <c r="D54" s="58"/>
      <c r="E54" s="60"/>
      <c r="F54" s="312"/>
      <c r="G54" s="312"/>
      <c r="H54" s="190"/>
      <c r="I54" s="312"/>
      <c r="J54" s="63"/>
    </row>
    <row r="55" spans="2:16">
      <c r="B55" s="61"/>
      <c r="F55" s="94"/>
      <c r="G55" s="94"/>
      <c r="H55" s="94"/>
      <c r="I55" s="94"/>
      <c r="J55" s="94"/>
    </row>
    <row r="56" spans="2:16">
      <c r="F56" s="95" t="s">
        <v>168</v>
      </c>
      <c r="G56" s="95" t="s">
        <v>169</v>
      </c>
      <c r="H56" s="95"/>
      <c r="I56" s="95" t="s">
        <v>170</v>
      </c>
      <c r="J56" s="95"/>
    </row>
    <row r="57" spans="2:16">
      <c r="F57" s="7"/>
      <c r="G57" s="7"/>
      <c r="H57" s="1"/>
      <c r="I57" s="7"/>
      <c r="J57" s="1"/>
      <c r="K57" s="1"/>
    </row>
    <row r="58" spans="2:16">
      <c r="E58" s="62">
        <v>503</v>
      </c>
      <c r="F58" s="7">
        <f>F12</f>
        <v>193657</v>
      </c>
      <c r="G58" s="7">
        <f>G12</f>
        <v>127469237</v>
      </c>
      <c r="H58" s="1"/>
      <c r="I58" s="7">
        <f>I12</f>
        <v>130754889.53</v>
      </c>
      <c r="J58" s="1"/>
      <c r="K58" s="1"/>
    </row>
    <row r="59" spans="2:16">
      <c r="E59" s="62">
        <v>504</v>
      </c>
      <c r="F59" s="7">
        <f>F19</f>
        <v>26658</v>
      </c>
      <c r="G59" s="7">
        <f>G19</f>
        <v>87178722</v>
      </c>
      <c r="H59" s="1"/>
      <c r="I59" s="7">
        <f>I19</f>
        <v>80247678.329999998</v>
      </c>
      <c r="J59" s="1"/>
      <c r="K59" s="1"/>
    </row>
    <row r="60" spans="2:16">
      <c r="F60" s="7"/>
      <c r="G60" s="7"/>
      <c r="H60" s="1"/>
      <c r="I60" s="7"/>
      <c r="J60" s="1"/>
      <c r="K60" s="1"/>
    </row>
    <row r="61" spans="2:16">
      <c r="E61" s="62">
        <v>541</v>
      </c>
      <c r="F61" s="7">
        <f>F14+F21</f>
        <v>0</v>
      </c>
      <c r="G61" s="7">
        <f>G14+G21</f>
        <v>0</v>
      </c>
      <c r="H61" s="1"/>
      <c r="I61" s="7">
        <f>I14+I21</f>
        <v>0</v>
      </c>
      <c r="J61" s="1"/>
      <c r="K61" s="1"/>
    </row>
    <row r="62" spans="2:16">
      <c r="E62" s="62">
        <v>511</v>
      </c>
      <c r="F62" s="7">
        <f>F20+F30</f>
        <v>98</v>
      </c>
      <c r="G62" s="7">
        <f>G20+G30</f>
        <v>27715290</v>
      </c>
      <c r="H62" s="1"/>
      <c r="I62" s="7">
        <f>I20+I30</f>
        <v>18800301.130000003</v>
      </c>
      <c r="J62" s="1"/>
      <c r="K62" s="1"/>
    </row>
    <row r="63" spans="2:16">
      <c r="E63" s="62">
        <v>505</v>
      </c>
      <c r="F63" s="7">
        <f>F29</f>
        <v>480</v>
      </c>
      <c r="G63" s="7">
        <f>G29</f>
        <v>12314848</v>
      </c>
      <c r="H63" s="1"/>
      <c r="I63" s="7">
        <f>I29</f>
        <v>9601453</v>
      </c>
      <c r="J63" s="1"/>
      <c r="K63" s="1"/>
    </row>
    <row r="64" spans="2:16">
      <c r="E64" s="62">
        <v>570</v>
      </c>
      <c r="F64" s="7">
        <f>F34</f>
        <v>8</v>
      </c>
      <c r="G64" s="7">
        <f>G34</f>
        <v>2197567</v>
      </c>
      <c r="H64" s="1"/>
      <c r="I64" s="7">
        <f>I34</f>
        <v>1422997</v>
      </c>
      <c r="J64" s="1"/>
      <c r="K64" s="1"/>
    </row>
    <row r="65" spans="2:11">
      <c r="F65" s="7"/>
      <c r="G65" s="7"/>
      <c r="H65" s="1"/>
      <c r="I65" s="7"/>
      <c r="J65" s="1"/>
      <c r="K65" s="1"/>
    </row>
    <row r="66" spans="2:11">
      <c r="E66" s="62" t="s">
        <v>47</v>
      </c>
      <c r="F66" s="7">
        <f>F42</f>
        <v>0</v>
      </c>
      <c r="G66" s="7">
        <f>G42</f>
        <v>0</v>
      </c>
      <c r="H66" s="1"/>
      <c r="I66" s="7">
        <f>I42</f>
        <v>0</v>
      </c>
      <c r="J66" s="1"/>
      <c r="K66" s="1"/>
    </row>
    <row r="67" spans="2:11">
      <c r="E67" s="62">
        <v>663</v>
      </c>
      <c r="F67" s="7">
        <f>F44</f>
        <v>188</v>
      </c>
      <c r="G67" s="7">
        <f>G44</f>
        <v>629818145</v>
      </c>
      <c r="H67" s="1"/>
      <c r="I67" s="7">
        <f>I44</f>
        <v>20168203</v>
      </c>
      <c r="J67" s="1"/>
      <c r="K67" s="1"/>
    </row>
    <row r="68" spans="2:11">
      <c r="E68" s="62" t="s">
        <v>199</v>
      </c>
      <c r="F68" s="8">
        <f>F45</f>
        <v>7</v>
      </c>
      <c r="G68" s="8">
        <f>G45</f>
        <v>216766399</v>
      </c>
      <c r="H68" s="8"/>
      <c r="I68" s="8">
        <f>I45</f>
        <v>4441400</v>
      </c>
      <c r="J68" s="8"/>
      <c r="K68" s="1"/>
    </row>
    <row r="69" spans="2:11" s="166" customFormat="1">
      <c r="B69" s="191"/>
      <c r="E69" s="191"/>
      <c r="F69" s="87">
        <f>SUM(F57:F68)</f>
        <v>221096</v>
      </c>
      <c r="G69" s="87">
        <f>SUM(G57:G68)</f>
        <v>1103460208</v>
      </c>
      <c r="H69" s="70"/>
      <c r="I69" s="87">
        <f>SUM(I57:I68)</f>
        <v>265436921.99000001</v>
      </c>
      <c r="J69" s="70"/>
      <c r="K69" s="70"/>
    </row>
    <row r="75" spans="2:11">
      <c r="F75" s="95" t="str">
        <f t="shared" ref="E75:J88" si="0">F56</f>
        <v>BILLS</v>
      </c>
      <c r="G75" s="95" t="str">
        <f t="shared" si="0"/>
        <v xml:space="preserve">THERMS </v>
      </c>
      <c r="H75" s="95"/>
      <c r="I75" s="95" t="str">
        <f t="shared" si="0"/>
        <v>REVS</v>
      </c>
      <c r="J75" s="95">
        <f t="shared" si="0"/>
        <v>0</v>
      </c>
    </row>
    <row r="76" spans="2:11">
      <c r="E76" s="62">
        <f t="shared" si="0"/>
        <v>0</v>
      </c>
      <c r="F76" s="7">
        <f t="shared" si="0"/>
        <v>0</v>
      </c>
      <c r="G76" s="7">
        <f t="shared" si="0"/>
        <v>0</v>
      </c>
      <c r="H76" s="1"/>
      <c r="I76" s="7">
        <f t="shared" si="0"/>
        <v>0</v>
      </c>
      <c r="J76" s="1">
        <f t="shared" si="0"/>
        <v>0</v>
      </c>
    </row>
    <row r="77" spans="2:11">
      <c r="E77" s="62">
        <f t="shared" si="0"/>
        <v>503</v>
      </c>
      <c r="F77" s="7">
        <f t="shared" si="0"/>
        <v>193657</v>
      </c>
      <c r="G77" s="7">
        <f>G58+G15+G16</f>
        <v>126196814</v>
      </c>
      <c r="H77" s="1"/>
      <c r="I77" s="7">
        <f>I58+I15+I16</f>
        <v>129784519.48999999</v>
      </c>
      <c r="J77" s="1">
        <f t="shared" si="0"/>
        <v>0</v>
      </c>
    </row>
    <row r="78" spans="2:11">
      <c r="E78" s="62">
        <f t="shared" si="0"/>
        <v>504</v>
      </c>
      <c r="F78" s="7">
        <f t="shared" si="0"/>
        <v>26658</v>
      </c>
      <c r="G78" s="7">
        <f>G59+G22+G23+G26</f>
        <v>85796786</v>
      </c>
      <c r="H78" s="1"/>
      <c r="I78" s="7">
        <f>I59+I22+I23+I26</f>
        <v>79262367.890000001</v>
      </c>
      <c r="J78" s="1">
        <f t="shared" si="0"/>
        <v>0</v>
      </c>
    </row>
    <row r="79" spans="2:11">
      <c r="E79" s="62">
        <f t="shared" si="0"/>
        <v>0</v>
      </c>
      <c r="F79" s="7">
        <f t="shared" si="0"/>
        <v>0</v>
      </c>
      <c r="G79" s="7">
        <f t="shared" si="0"/>
        <v>0</v>
      </c>
      <c r="H79" s="1"/>
      <c r="I79" s="7">
        <f t="shared" si="0"/>
        <v>0</v>
      </c>
      <c r="J79" s="1">
        <f t="shared" si="0"/>
        <v>0</v>
      </c>
    </row>
    <row r="80" spans="2:11">
      <c r="E80" s="62">
        <f t="shared" si="0"/>
        <v>541</v>
      </c>
      <c r="F80" s="7">
        <f t="shared" si="0"/>
        <v>0</v>
      </c>
      <c r="G80" s="7">
        <f t="shared" si="0"/>
        <v>0</v>
      </c>
      <c r="H80" s="1"/>
      <c r="I80" s="7">
        <f t="shared" si="0"/>
        <v>0</v>
      </c>
      <c r="J80" s="1">
        <f t="shared" si="0"/>
        <v>0</v>
      </c>
    </row>
    <row r="81" spans="5:10">
      <c r="E81" s="62">
        <f t="shared" si="0"/>
        <v>511</v>
      </c>
      <c r="F81" s="7">
        <f t="shared" si="0"/>
        <v>98</v>
      </c>
      <c r="G81" s="7">
        <f t="shared" si="0"/>
        <v>27715290</v>
      </c>
      <c r="H81" s="1"/>
      <c r="I81" s="7">
        <f t="shared" si="0"/>
        <v>18800301.130000003</v>
      </c>
      <c r="J81" s="1">
        <f t="shared" si="0"/>
        <v>0</v>
      </c>
    </row>
    <row r="82" spans="5:10">
      <c r="E82" s="62">
        <f t="shared" si="0"/>
        <v>505</v>
      </c>
      <c r="F82" s="7">
        <f t="shared" si="0"/>
        <v>480</v>
      </c>
      <c r="G82" s="7">
        <f t="shared" si="0"/>
        <v>12314848</v>
      </c>
      <c r="H82" s="1"/>
      <c r="I82" s="7">
        <f t="shared" si="0"/>
        <v>9601453</v>
      </c>
      <c r="J82" s="1">
        <f t="shared" si="0"/>
        <v>0</v>
      </c>
    </row>
    <row r="83" spans="5:10">
      <c r="E83" s="62">
        <f t="shared" si="0"/>
        <v>570</v>
      </c>
      <c r="F83" s="7">
        <f t="shared" si="0"/>
        <v>8</v>
      </c>
      <c r="G83" s="7">
        <f t="shared" si="0"/>
        <v>2197567</v>
      </c>
      <c r="H83" s="1"/>
      <c r="I83" s="7">
        <f t="shared" si="0"/>
        <v>1422997</v>
      </c>
      <c r="J83" s="1">
        <f t="shared" si="0"/>
        <v>0</v>
      </c>
    </row>
    <row r="84" spans="5:10">
      <c r="E84" s="62">
        <f t="shared" si="0"/>
        <v>0</v>
      </c>
      <c r="F84" s="7">
        <f t="shared" si="0"/>
        <v>0</v>
      </c>
      <c r="G84" s="7">
        <f t="shared" si="0"/>
        <v>0</v>
      </c>
      <c r="H84" s="1"/>
      <c r="I84" s="7">
        <f t="shared" si="0"/>
        <v>0</v>
      </c>
      <c r="J84" s="1">
        <f t="shared" si="0"/>
        <v>0</v>
      </c>
    </row>
    <row r="85" spans="5:10">
      <c r="E85" s="62" t="str">
        <f t="shared" si="0"/>
        <v>685/686</v>
      </c>
      <c r="F85" s="7">
        <f t="shared" si="0"/>
        <v>0</v>
      </c>
      <c r="G85" s="7">
        <f t="shared" si="0"/>
        <v>0</v>
      </c>
      <c r="H85" s="1"/>
      <c r="I85" s="7">
        <f t="shared" si="0"/>
        <v>0</v>
      </c>
      <c r="J85" s="1">
        <f t="shared" si="0"/>
        <v>0</v>
      </c>
    </row>
    <row r="86" spans="5:10">
      <c r="E86" s="62">
        <f t="shared" si="0"/>
        <v>663</v>
      </c>
      <c r="F86" s="7">
        <f t="shared" si="0"/>
        <v>188</v>
      </c>
      <c r="G86" s="7">
        <f t="shared" si="0"/>
        <v>629818145</v>
      </c>
      <c r="H86" s="1"/>
      <c r="I86" s="7">
        <f t="shared" si="0"/>
        <v>20168203</v>
      </c>
      <c r="J86" s="1">
        <f t="shared" si="0"/>
        <v>0</v>
      </c>
    </row>
    <row r="87" spans="5:10">
      <c r="E87" s="62" t="str">
        <f t="shared" si="0"/>
        <v>9xx</v>
      </c>
      <c r="F87" s="8">
        <f t="shared" si="0"/>
        <v>7</v>
      </c>
      <c r="G87" s="8">
        <f t="shared" si="0"/>
        <v>216766399</v>
      </c>
      <c r="H87" s="8"/>
      <c r="I87" s="8">
        <f t="shared" si="0"/>
        <v>4441400</v>
      </c>
      <c r="J87" s="8">
        <f t="shared" si="0"/>
        <v>0</v>
      </c>
    </row>
    <row r="88" spans="5:10">
      <c r="F88" s="87">
        <f>SUM(F76:F87)</f>
        <v>221096</v>
      </c>
      <c r="G88" s="87">
        <f>SUM(G76:G87)</f>
        <v>1100805849</v>
      </c>
      <c r="H88" s="70"/>
      <c r="I88" s="87">
        <f>SUM(I76:I87)</f>
        <v>263481241.50999999</v>
      </c>
      <c r="J88" s="70">
        <f t="shared" si="0"/>
        <v>0</v>
      </c>
    </row>
    <row r="89" spans="5:10">
      <c r="F89" s="166"/>
      <c r="G89" s="166"/>
      <c r="H89" s="63"/>
      <c r="I89" s="166"/>
      <c r="J89" s="63"/>
    </row>
  </sheetData>
  <mergeCells count="4">
    <mergeCell ref="C4:K4"/>
    <mergeCell ref="C1:O1"/>
    <mergeCell ref="C2:O2"/>
    <mergeCell ref="C3:O3"/>
  </mergeCells>
  <phoneticPr fontId="14" type="noConversion"/>
  <printOptions horizontalCentered="1"/>
  <pageMargins left="0.25" right="0.25" top="1" bottom="1" header="0.5" footer="0.5"/>
  <pageSetup scale="10" orientation="portrait" r:id="rId1"/>
  <headerFooter scaleWithDoc="0" alignWithMargins="0">
    <oddFooter>&amp;L
&amp;A&amp;R&amp;P/&amp;N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L33"/>
  <sheetViews>
    <sheetView topLeftCell="A7" zoomScaleNormal="100" workbookViewId="0">
      <selection activeCell="A6" sqref="A6:F6"/>
    </sheetView>
  </sheetViews>
  <sheetFormatPr defaultColWidth="18.33203125" defaultRowHeight="15" customHeight="1"/>
  <cols>
    <col min="1" max="1" width="10.1640625" style="329" bestFit="1" customWidth="1"/>
    <col min="2" max="2" width="22.6640625" style="330" bestFit="1" customWidth="1"/>
    <col min="3" max="16384" width="18.33203125" style="330"/>
  </cols>
  <sheetData>
    <row r="1" spans="1:12" ht="15" customHeight="1">
      <c r="D1" s="587" t="s">
        <v>53</v>
      </c>
      <c r="E1" s="587"/>
      <c r="F1" s="587"/>
      <c r="G1" s="587"/>
      <c r="H1" s="587"/>
      <c r="I1" s="587"/>
      <c r="J1" s="587"/>
      <c r="K1" s="587"/>
      <c r="L1" s="533" t="s">
        <v>260</v>
      </c>
    </row>
    <row r="2" spans="1:12" ht="15" customHeight="1">
      <c r="A2" s="331"/>
      <c r="D2" s="588" t="s">
        <v>227</v>
      </c>
      <c r="E2" s="588"/>
      <c r="F2" s="588"/>
      <c r="G2" s="588"/>
      <c r="H2" s="588"/>
      <c r="I2" s="588"/>
      <c r="J2" s="588"/>
      <c r="K2" s="588"/>
      <c r="L2" s="328" t="s">
        <v>228</v>
      </c>
    </row>
    <row r="3" spans="1:12" ht="15" customHeight="1">
      <c r="D3" s="587" t="s">
        <v>55</v>
      </c>
      <c r="E3" s="587"/>
      <c r="F3" s="587"/>
      <c r="G3" s="587"/>
      <c r="H3" s="587"/>
      <c r="I3" s="587"/>
      <c r="J3" s="587"/>
      <c r="K3" s="587"/>
      <c r="L3" s="328" t="s">
        <v>185</v>
      </c>
    </row>
    <row r="4" spans="1:12" ht="15" customHeight="1">
      <c r="D4" s="589" t="s">
        <v>186</v>
      </c>
      <c r="E4" s="589"/>
      <c r="F4" s="589"/>
      <c r="G4" s="589"/>
      <c r="H4" s="589"/>
      <c r="I4" s="589"/>
      <c r="J4" s="589"/>
      <c r="K4" s="589"/>
      <c r="L4" s="328"/>
    </row>
    <row r="5" spans="1:12" ht="15" customHeight="1" thickBot="1">
      <c r="D5" s="332"/>
      <c r="E5" s="333"/>
      <c r="F5" s="333"/>
      <c r="H5" s="333"/>
      <c r="I5" s="333"/>
      <c r="J5" s="333"/>
      <c r="K5" s="333"/>
      <c r="L5" s="334"/>
    </row>
    <row r="6" spans="1:12" ht="5.25" customHeight="1">
      <c r="E6" s="335"/>
      <c r="F6" s="336"/>
      <c r="H6" s="337"/>
      <c r="I6" s="338"/>
      <c r="J6" s="339"/>
      <c r="L6" s="334"/>
    </row>
    <row r="7" spans="1:12" s="329" customFormat="1" ht="15" customHeight="1">
      <c r="D7" s="340"/>
      <c r="H7" s="584" t="s">
        <v>166</v>
      </c>
      <c r="I7" s="585"/>
      <c r="J7" s="586"/>
      <c r="L7" s="340"/>
    </row>
    <row r="8" spans="1:12" s="329" customFormat="1" ht="15.75">
      <c r="G8" s="341"/>
      <c r="H8" s="582" t="s">
        <v>4</v>
      </c>
      <c r="I8" s="583"/>
      <c r="J8" s="342" t="s">
        <v>50</v>
      </c>
      <c r="K8" s="340"/>
    </row>
    <row r="9" spans="1:12" s="329" customFormat="1" ht="78.75">
      <c r="A9" s="344" t="s">
        <v>164</v>
      </c>
      <c r="B9" s="344" t="s">
        <v>163</v>
      </c>
      <c r="C9" s="341" t="s">
        <v>248</v>
      </c>
      <c r="D9" s="341" t="s">
        <v>249</v>
      </c>
      <c r="E9" s="345" t="s">
        <v>162</v>
      </c>
      <c r="F9" s="346" t="s">
        <v>165</v>
      </c>
      <c r="G9" s="343" t="s">
        <v>12</v>
      </c>
      <c r="H9" s="347" t="s">
        <v>136</v>
      </c>
      <c r="I9" s="344" t="s">
        <v>142</v>
      </c>
      <c r="J9" s="374" t="s">
        <v>141</v>
      </c>
      <c r="K9" s="348" t="s">
        <v>167</v>
      </c>
      <c r="L9" s="343" t="s">
        <v>14</v>
      </c>
    </row>
    <row r="10" spans="1:12" ht="15" customHeight="1">
      <c r="A10" s="349"/>
      <c r="B10" s="350" t="s">
        <v>15</v>
      </c>
      <c r="C10" s="350" t="s">
        <v>16</v>
      </c>
      <c r="D10" s="350" t="s">
        <v>17</v>
      </c>
      <c r="E10" s="350" t="s">
        <v>18</v>
      </c>
      <c r="F10" s="350" t="s">
        <v>19</v>
      </c>
      <c r="G10" s="350" t="s">
        <v>20</v>
      </c>
      <c r="H10" s="351" t="s">
        <v>21</v>
      </c>
      <c r="I10" s="350" t="s">
        <v>22</v>
      </c>
      <c r="J10" s="375" t="s">
        <v>51</v>
      </c>
      <c r="K10" s="350" t="s">
        <v>23</v>
      </c>
      <c r="L10" s="350" t="s">
        <v>24</v>
      </c>
    </row>
    <row r="11" spans="1:12" ht="15" customHeight="1">
      <c r="B11" s="352"/>
      <c r="C11" s="343"/>
      <c r="D11" s="353"/>
      <c r="E11" s="343"/>
      <c r="F11" s="343"/>
      <c r="G11" s="343"/>
      <c r="H11" s="354"/>
      <c r="I11" s="343"/>
      <c r="J11" s="376"/>
      <c r="K11" s="343"/>
      <c r="L11" s="343"/>
    </row>
    <row r="12" spans="1:12" ht="15" customHeight="1">
      <c r="A12" s="340">
        <v>1</v>
      </c>
      <c r="B12" s="355" t="str">
        <f>+'Balances at 7-31-2020'!A19</f>
        <v>CORE Conservation</v>
      </c>
      <c r="C12" s="356">
        <f>+'Balances at 7-31-2020'!D19</f>
        <v>7326606.879999999</v>
      </c>
      <c r="D12" s="357">
        <f>+EstimatedBalances!H16</f>
        <v>-895332.56532000005</v>
      </c>
      <c r="E12" s="358">
        <f>((C12+D12)/(1-0.04362))-(C12+D12)</f>
        <v>293327.11433357187</v>
      </c>
      <c r="F12" s="357">
        <f>+'Int during Amort'!S29</f>
        <v>90176.743339316541</v>
      </c>
      <c r="G12" s="357">
        <f>SUM(C12:F12)</f>
        <v>6814778.1723528877</v>
      </c>
      <c r="H12" s="359"/>
      <c r="I12" s="360"/>
      <c r="J12" s="377"/>
      <c r="L12" s="330" t="s">
        <v>135</v>
      </c>
    </row>
    <row r="13" spans="1:12" ht="15" customHeight="1">
      <c r="A13" s="340">
        <v>2</v>
      </c>
      <c r="C13" s="356"/>
      <c r="D13" s="357"/>
      <c r="E13" s="357"/>
      <c r="F13" s="361" t="s">
        <v>36</v>
      </c>
      <c r="G13" s="362">
        <f>+'Test Period Volumes'!I35</f>
        <v>259281100</v>
      </c>
      <c r="H13" s="363">
        <f>ROUND(G12/G13,5)</f>
        <v>2.6280000000000001E-2</v>
      </c>
      <c r="I13" s="364">
        <f>ROUND(G12/G13,5)</f>
        <v>2.6280000000000001E-2</v>
      </c>
      <c r="J13" s="377"/>
      <c r="K13" s="340" t="s">
        <v>25</v>
      </c>
      <c r="L13" s="355" t="s">
        <v>37</v>
      </c>
    </row>
    <row r="14" spans="1:12" ht="15" customHeight="1">
      <c r="A14" s="340"/>
      <c r="C14" s="356"/>
      <c r="D14" s="357"/>
      <c r="E14" s="357"/>
      <c r="F14" s="357"/>
      <c r="G14" s="362"/>
      <c r="H14" s="363"/>
      <c r="I14" s="364"/>
      <c r="J14" s="377"/>
      <c r="K14" s="340"/>
      <c r="L14" s="355"/>
    </row>
    <row r="15" spans="1:12" ht="15" customHeight="1">
      <c r="A15" s="340"/>
      <c r="C15" s="365"/>
      <c r="D15" s="357"/>
      <c r="E15" s="357"/>
      <c r="F15" s="361"/>
      <c r="G15" s="362"/>
      <c r="H15" s="363"/>
      <c r="I15" s="364"/>
      <c r="J15" s="377"/>
      <c r="K15" s="340"/>
      <c r="L15" s="355"/>
    </row>
    <row r="16" spans="1:12" ht="22.5" customHeight="1">
      <c r="A16" s="340">
        <v>3</v>
      </c>
      <c r="B16" s="366" t="s">
        <v>134</v>
      </c>
      <c r="C16" s="367">
        <f>+C12</f>
        <v>7326606.879999999</v>
      </c>
      <c r="D16" s="367">
        <f t="shared" ref="D16:F16" si="0">+D12</f>
        <v>-895332.56532000005</v>
      </c>
      <c r="E16" s="367">
        <f t="shared" si="0"/>
        <v>293327.11433357187</v>
      </c>
      <c r="F16" s="367">
        <f t="shared" si="0"/>
        <v>90176.743339316541</v>
      </c>
      <c r="G16" s="367">
        <f>+G12</f>
        <v>6814778.1723528877</v>
      </c>
      <c r="H16" s="368">
        <f>+H13</f>
        <v>2.6280000000000001E-2</v>
      </c>
      <c r="I16" s="369">
        <f>+I13</f>
        <v>2.6280000000000001E-2</v>
      </c>
      <c r="J16" s="378">
        <f>SUM(J12:J13)</f>
        <v>0</v>
      </c>
    </row>
    <row r="17" spans="1:10" ht="5.25" customHeight="1" thickBot="1">
      <c r="A17" s="340"/>
      <c r="H17" s="370"/>
      <c r="I17" s="371"/>
      <c r="J17" s="372"/>
    </row>
    <row r="18" spans="1:10" ht="15" customHeight="1">
      <c r="A18" s="340"/>
      <c r="E18" s="373"/>
    </row>
    <row r="20" spans="1:10" ht="15" customHeight="1">
      <c r="E20" s="373"/>
    </row>
    <row r="21" spans="1:10" ht="15" customHeight="1">
      <c r="A21" s="340"/>
    </row>
    <row r="24" spans="1:10" ht="15" customHeight="1">
      <c r="A24" s="340"/>
    </row>
    <row r="27" spans="1:10" ht="15" customHeight="1">
      <c r="A27" s="340"/>
    </row>
    <row r="29" spans="1:10" ht="15" customHeight="1">
      <c r="A29" s="340"/>
    </row>
    <row r="31" spans="1:10" ht="15" customHeight="1">
      <c r="A31" s="340"/>
    </row>
    <row r="32" spans="1:10" ht="15" customHeight="1">
      <c r="A32" s="340"/>
    </row>
    <row r="33" spans="1:1" ht="15" customHeight="1">
      <c r="A33" s="340"/>
    </row>
  </sheetData>
  <mergeCells count="6">
    <mergeCell ref="H8:I8"/>
    <mergeCell ref="H7:J7"/>
    <mergeCell ref="D1:K1"/>
    <mergeCell ref="D3:K3"/>
    <mergeCell ref="D2:K2"/>
    <mergeCell ref="D4:K4"/>
  </mergeCells>
  <phoneticPr fontId="23" type="noConversion"/>
  <printOptions horizontalCentered="1"/>
  <pageMargins left="0.2" right="0.2" top="1" bottom="0.17" header="0.35" footer="0.5"/>
  <pageSetup scale="73" orientation="landscape" r:id="rId1"/>
  <headerFooter alignWithMargins="0">
    <oddFooter>&amp;LTab Name: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V28"/>
  <sheetViews>
    <sheetView zoomScaleNormal="100" workbookViewId="0">
      <selection activeCell="A6" sqref="A6:F6"/>
    </sheetView>
  </sheetViews>
  <sheetFormatPr defaultColWidth="10.6640625" defaultRowHeight="15"/>
  <cols>
    <col min="1" max="1" width="5" style="210" customWidth="1"/>
    <col min="2" max="2" width="26" style="210" customWidth="1"/>
    <col min="3" max="3" width="14.1640625" style="210" customWidth="1"/>
    <col min="4" max="4" width="16.1640625" style="210" customWidth="1"/>
    <col min="5" max="5" width="16" style="210" customWidth="1"/>
    <col min="6" max="6" width="18.33203125" style="210" customWidth="1"/>
    <col min="7" max="7" width="23.1640625" style="210" customWidth="1"/>
    <col min="8" max="8" width="16.1640625" style="210" customWidth="1"/>
    <col min="9" max="9" width="18" style="210" customWidth="1"/>
    <col min="10" max="10" width="16.1640625" style="210" customWidth="1"/>
    <col min="11" max="12" width="13.83203125" style="210" customWidth="1"/>
    <col min="13" max="13" width="14.83203125" style="210" customWidth="1"/>
    <col min="14" max="14" width="13.33203125" style="210" customWidth="1"/>
    <col min="15" max="15" width="19.6640625" style="210" customWidth="1"/>
    <col min="16" max="17" width="13.33203125" style="210" customWidth="1"/>
    <col min="18" max="18" width="16" style="210" customWidth="1"/>
    <col min="19" max="19" width="14.1640625" style="210" customWidth="1"/>
    <col min="20" max="20" width="17" style="210" customWidth="1"/>
    <col min="21" max="21" width="14.1640625" style="210" customWidth="1"/>
    <col min="22" max="16384" width="10.6640625" style="210"/>
  </cols>
  <sheetData>
    <row r="1" spans="1:15" ht="15.75" customHeight="1">
      <c r="A1" s="379"/>
      <c r="B1" s="379"/>
      <c r="G1" s="327" t="str">
        <f>+'CPA Summary of Def. Accts.'!L1</f>
        <v>CNGC Advice W20-09-02</v>
      </c>
      <c r="H1" s="379"/>
    </row>
    <row r="2" spans="1:15" ht="15.75" customHeight="1">
      <c r="A2" s="379"/>
      <c r="B2" s="379"/>
      <c r="G2" s="328" t="s">
        <v>228</v>
      </c>
      <c r="H2" s="379"/>
    </row>
    <row r="3" spans="1:15" ht="15.75" customHeight="1">
      <c r="A3" s="379"/>
      <c r="B3" s="379"/>
      <c r="G3" s="328" t="s">
        <v>184</v>
      </c>
      <c r="H3" s="379"/>
    </row>
    <row r="4" spans="1:15" s="211" customFormat="1" ht="15.75" customHeight="1">
      <c r="A4" s="380"/>
      <c r="B4" s="380"/>
      <c r="C4" s="590" t="s">
        <v>53</v>
      </c>
      <c r="D4" s="590"/>
      <c r="E4" s="590"/>
      <c r="F4" s="590"/>
      <c r="G4" s="381"/>
      <c r="H4" s="381"/>
      <c r="I4" s="212"/>
      <c r="J4" s="212"/>
      <c r="K4" s="212"/>
      <c r="L4" s="212"/>
      <c r="M4" s="212"/>
      <c r="N4" s="212"/>
      <c r="O4" s="212"/>
    </row>
    <row r="5" spans="1:15" s="211" customFormat="1" ht="15.75" customHeight="1">
      <c r="A5" s="380"/>
      <c r="B5" s="590" t="s">
        <v>235</v>
      </c>
      <c r="C5" s="590"/>
      <c r="D5" s="590"/>
      <c r="E5" s="590"/>
      <c r="F5" s="590"/>
      <c r="G5" s="590"/>
      <c r="H5" s="381"/>
      <c r="I5" s="212"/>
      <c r="J5" s="212"/>
      <c r="K5" s="212"/>
      <c r="L5" s="212"/>
      <c r="M5" s="212"/>
      <c r="N5" s="212"/>
      <c r="O5" s="212"/>
    </row>
    <row r="6" spans="1:15" s="211" customFormat="1" ht="15.75" customHeight="1">
      <c r="A6" s="380"/>
      <c r="B6" s="380"/>
      <c r="C6" s="590" t="s">
        <v>179</v>
      </c>
      <c r="D6" s="590"/>
      <c r="E6" s="590"/>
      <c r="F6" s="590"/>
      <c r="G6" s="381"/>
      <c r="H6" s="381"/>
      <c r="I6" s="212"/>
      <c r="J6" s="212"/>
      <c r="K6" s="212"/>
      <c r="L6" s="212"/>
      <c r="M6" s="212"/>
      <c r="N6" s="212"/>
      <c r="O6" s="212"/>
    </row>
    <row r="7" spans="1:15" s="211" customFormat="1" ht="15.75" customHeight="1">
      <c r="A7" s="380"/>
      <c r="B7" s="380"/>
      <c r="C7" s="590" t="s">
        <v>55</v>
      </c>
      <c r="D7" s="590"/>
      <c r="E7" s="590"/>
      <c r="F7" s="590"/>
      <c r="G7" s="381"/>
      <c r="H7" s="381"/>
      <c r="I7" s="212"/>
      <c r="J7" s="212"/>
      <c r="K7" s="212"/>
      <c r="L7" s="212"/>
      <c r="M7" s="212"/>
      <c r="N7" s="212"/>
      <c r="O7" s="212"/>
    </row>
    <row r="8" spans="1:15" ht="15.75">
      <c r="A8" s="379"/>
      <c r="B8" s="382"/>
      <c r="C8" s="382"/>
      <c r="D8" s="382"/>
      <c r="E8" s="382"/>
      <c r="F8" s="383"/>
      <c r="G8" s="379"/>
      <c r="H8" s="379"/>
    </row>
    <row r="9" spans="1:15" s="217" customFormat="1" ht="63">
      <c r="A9" s="384"/>
      <c r="B9" s="385" t="s">
        <v>0</v>
      </c>
      <c r="C9" s="386" t="s">
        <v>171</v>
      </c>
      <c r="D9" s="385" t="s">
        <v>181</v>
      </c>
      <c r="E9" s="387" t="s">
        <v>186</v>
      </c>
      <c r="F9" s="385" t="s">
        <v>178</v>
      </c>
      <c r="G9" s="385" t="s">
        <v>221</v>
      </c>
      <c r="H9" s="388"/>
      <c r="I9" s="216"/>
      <c r="J9" s="216"/>
      <c r="K9" s="216"/>
    </row>
    <row r="10" spans="1:15" ht="15.75">
      <c r="A10" s="379"/>
      <c r="B10" s="389" t="s">
        <v>15</v>
      </c>
      <c r="C10" s="390" t="s">
        <v>16</v>
      </c>
      <c r="D10" s="391" t="s">
        <v>17</v>
      </c>
      <c r="E10" s="392" t="s">
        <v>18</v>
      </c>
      <c r="F10" s="391" t="s">
        <v>19</v>
      </c>
      <c r="G10" s="393" t="s">
        <v>107</v>
      </c>
      <c r="H10" s="383"/>
      <c r="I10" s="214"/>
      <c r="J10" s="214"/>
      <c r="K10" s="214"/>
    </row>
    <row r="11" spans="1:15" ht="16.5" customHeight="1">
      <c r="A11" s="379"/>
      <c r="B11" s="394" t="s">
        <v>108</v>
      </c>
      <c r="C11" s="395"/>
      <c r="D11" s="395"/>
      <c r="E11" s="395"/>
      <c r="F11" s="396"/>
      <c r="G11" s="395"/>
      <c r="H11" s="379"/>
    </row>
    <row r="12" spans="1:15" ht="15.75">
      <c r="A12" s="379"/>
      <c r="B12" s="400" t="s">
        <v>73</v>
      </c>
      <c r="C12" s="401">
        <v>503</v>
      </c>
      <c r="D12" s="397">
        <v>-2.63E-2</v>
      </c>
      <c r="E12" s="397">
        <f>+'CPA Summary of Def. Accts.'!H16</f>
        <v>2.6280000000000001E-2</v>
      </c>
      <c r="F12" s="398">
        <f t="shared" ref="F12:F16" si="0">SUM(D12:E12)</f>
        <v>-1.9999999999999185E-5</v>
      </c>
      <c r="G12" s="402">
        <f t="shared" ref="G12:G16" si="1">+E12</f>
        <v>2.6280000000000001E-2</v>
      </c>
      <c r="H12" s="399"/>
      <c r="I12" s="98"/>
      <c r="J12" s="43"/>
      <c r="K12" s="43"/>
    </row>
    <row r="13" spans="1:15" ht="15.75">
      <c r="A13" s="379"/>
      <c r="B13" s="400" t="s">
        <v>81</v>
      </c>
      <c r="C13" s="401">
        <v>504</v>
      </c>
      <c r="D13" s="397">
        <f>+D12</f>
        <v>-2.63E-2</v>
      </c>
      <c r="E13" s="397">
        <f t="shared" ref="E13" si="2">E12</f>
        <v>2.6280000000000001E-2</v>
      </c>
      <c r="F13" s="398">
        <f t="shared" si="0"/>
        <v>-1.9999999999999185E-5</v>
      </c>
      <c r="G13" s="402">
        <f t="shared" si="1"/>
        <v>2.6280000000000001E-2</v>
      </c>
      <c r="H13" s="399"/>
      <c r="I13" s="98"/>
      <c r="J13" s="43"/>
      <c r="K13" s="43"/>
    </row>
    <row r="14" spans="1:15" ht="15.75">
      <c r="A14" s="379"/>
      <c r="B14" s="400" t="s">
        <v>173</v>
      </c>
      <c r="C14" s="403">
        <v>511</v>
      </c>
      <c r="D14" s="397">
        <f>+D12</f>
        <v>-2.63E-2</v>
      </c>
      <c r="E14" s="397">
        <f>+E12</f>
        <v>2.6280000000000001E-2</v>
      </c>
      <c r="F14" s="398">
        <f t="shared" si="0"/>
        <v>-1.9999999999999185E-5</v>
      </c>
      <c r="G14" s="402">
        <f t="shared" si="1"/>
        <v>2.6280000000000001E-2</v>
      </c>
      <c r="H14" s="399"/>
      <c r="I14" s="98"/>
      <c r="J14" s="43"/>
      <c r="K14" s="43"/>
    </row>
    <row r="15" spans="1:15" ht="15.75">
      <c r="A15" s="379"/>
      <c r="B15" s="400" t="s">
        <v>85</v>
      </c>
      <c r="C15" s="403">
        <v>505</v>
      </c>
      <c r="D15" s="397">
        <f>+D12</f>
        <v>-2.63E-2</v>
      </c>
      <c r="E15" s="397">
        <f>+E12</f>
        <v>2.6280000000000001E-2</v>
      </c>
      <c r="F15" s="398">
        <f t="shared" si="0"/>
        <v>-1.9999999999999185E-5</v>
      </c>
      <c r="G15" s="402">
        <f t="shared" si="1"/>
        <v>2.6280000000000001E-2</v>
      </c>
      <c r="H15" s="399"/>
      <c r="I15" s="98"/>
      <c r="J15" s="43"/>
      <c r="K15" s="43"/>
    </row>
    <row r="16" spans="1:15" ht="15.75">
      <c r="A16" s="379"/>
      <c r="B16" s="400" t="s">
        <v>109</v>
      </c>
      <c r="C16" s="403">
        <v>570</v>
      </c>
      <c r="D16" s="397">
        <f>+D12</f>
        <v>-2.63E-2</v>
      </c>
      <c r="E16" s="397">
        <f>'CPA Summary of Def. Accts.'!I16</f>
        <v>2.6280000000000001E-2</v>
      </c>
      <c r="F16" s="398">
        <f t="shared" si="0"/>
        <v>-1.9999999999999185E-5</v>
      </c>
      <c r="G16" s="402">
        <f t="shared" si="1"/>
        <v>2.6280000000000001E-2</v>
      </c>
      <c r="H16" s="399"/>
      <c r="I16" s="98"/>
      <c r="J16" s="43"/>
      <c r="K16" s="43"/>
    </row>
    <row r="17" spans="1:22" ht="15.75">
      <c r="A17" s="379"/>
      <c r="B17" s="400"/>
      <c r="C17" s="403"/>
      <c r="D17" s="397"/>
      <c r="E17" s="397"/>
      <c r="F17" s="398"/>
      <c r="G17" s="402"/>
      <c r="H17" s="399"/>
      <c r="I17" s="98"/>
      <c r="J17" s="43"/>
      <c r="K17" s="43"/>
    </row>
    <row r="18" spans="1:22" ht="15.75">
      <c r="A18" s="379"/>
      <c r="B18" s="404"/>
      <c r="C18" s="405"/>
      <c r="D18" s="405"/>
      <c r="E18" s="405"/>
      <c r="F18" s="406"/>
      <c r="G18" s="405"/>
      <c r="H18" s="360"/>
      <c r="I18" s="98"/>
      <c r="J18" s="43"/>
      <c r="K18" s="43"/>
    </row>
    <row r="19" spans="1:22" s="213" customFormat="1" ht="15.75">
      <c r="A19" s="382"/>
      <c r="B19" s="407"/>
      <c r="C19" s="382"/>
      <c r="D19" s="382"/>
      <c r="E19" s="382"/>
      <c r="F19" s="382"/>
      <c r="G19" s="360"/>
      <c r="H19" s="360"/>
      <c r="I19" s="98"/>
      <c r="J19" s="98"/>
      <c r="K19" s="98"/>
    </row>
    <row r="20" spans="1:22" ht="15.75">
      <c r="A20" s="379"/>
      <c r="B20" s="408"/>
      <c r="C20" s="379"/>
      <c r="D20" s="379"/>
      <c r="E20" s="379"/>
      <c r="F20" s="379"/>
      <c r="G20" s="409"/>
      <c r="H20" s="379"/>
      <c r="Q20" s="43"/>
      <c r="R20" s="43"/>
      <c r="S20" s="43"/>
      <c r="T20" s="43"/>
      <c r="U20" s="43"/>
      <c r="V20" s="43"/>
    </row>
    <row r="21" spans="1:22" ht="15.75">
      <c r="A21" s="379"/>
      <c r="B21" s="408" t="s">
        <v>246</v>
      </c>
      <c r="C21" s="379"/>
      <c r="D21" s="379"/>
      <c r="E21" s="379"/>
      <c r="F21" s="410"/>
      <c r="G21" s="409"/>
      <c r="H21" s="379"/>
      <c r="Q21" s="43"/>
      <c r="R21" s="43"/>
      <c r="S21" s="43"/>
      <c r="T21" s="43"/>
      <c r="U21" s="43"/>
    </row>
    <row r="22" spans="1:22" ht="15.75">
      <c r="A22" s="379"/>
      <c r="B22" s="408"/>
      <c r="C22" s="379"/>
      <c r="D22" s="379"/>
      <c r="E22" s="379"/>
      <c r="F22" s="410"/>
      <c r="G22" s="409"/>
      <c r="H22" s="379"/>
      <c r="Q22" s="43"/>
      <c r="R22" s="43"/>
      <c r="S22" s="43"/>
      <c r="T22" s="43"/>
      <c r="U22" s="43"/>
    </row>
    <row r="23" spans="1:22" ht="15.75">
      <c r="A23" s="379"/>
      <c r="B23" s="411"/>
      <c r="C23" s="379"/>
      <c r="D23" s="379"/>
      <c r="E23" s="379"/>
      <c r="F23" s="410"/>
      <c r="G23" s="409"/>
      <c r="H23" s="379"/>
    </row>
    <row r="24" spans="1:22" ht="15.75">
      <c r="A24" s="379"/>
      <c r="B24" s="411"/>
      <c r="C24" s="379"/>
      <c r="D24" s="379"/>
      <c r="E24" s="379"/>
      <c r="F24" s="410"/>
      <c r="G24" s="412"/>
      <c r="H24" s="412"/>
      <c r="I24" s="101"/>
    </row>
    <row r="25" spans="1:22">
      <c r="F25" s="232"/>
      <c r="K25" s="101"/>
    </row>
    <row r="26" spans="1:22">
      <c r="F26" s="233"/>
      <c r="K26" s="101"/>
    </row>
    <row r="27" spans="1:22">
      <c r="K27" s="101"/>
    </row>
    <row r="28" spans="1:22">
      <c r="K28" s="101"/>
    </row>
  </sheetData>
  <mergeCells count="4">
    <mergeCell ref="C7:F7"/>
    <mergeCell ref="C6:F6"/>
    <mergeCell ref="C4:F4"/>
    <mergeCell ref="B5:G5"/>
  </mergeCells>
  <phoneticPr fontId="16" type="noConversion"/>
  <printOptions horizontalCentered="1"/>
  <pageMargins left="0.95" right="0.2" top="1" bottom="0.33" header="0.18" footer="0.23"/>
  <pageSetup scale="91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2:R25"/>
  <sheetViews>
    <sheetView zoomScaleNormal="100" workbookViewId="0">
      <selection activeCell="C5" sqref="C5:K5"/>
    </sheetView>
  </sheetViews>
  <sheetFormatPr defaultRowHeight="15.75" outlineLevelCol="1"/>
  <cols>
    <col min="1" max="1" width="5.5" style="434" bestFit="1" customWidth="1"/>
    <col min="2" max="2" width="9.33203125" style="413"/>
    <col min="3" max="3" width="19.5" style="413" customWidth="1"/>
    <col min="4" max="4" width="13.5" style="413" customWidth="1"/>
    <col min="5" max="5" width="11.5" style="413" bestFit="1" customWidth="1"/>
    <col min="6" max="6" width="18.5" style="413" bestFit="1" customWidth="1"/>
    <col min="7" max="7" width="1.33203125" style="424" customWidth="1"/>
    <col min="8" max="8" width="16.33203125" style="413" bestFit="1" customWidth="1"/>
    <col min="9" max="10" width="1.33203125" style="424" customWidth="1"/>
    <col min="11" max="11" width="15.33203125" style="499" customWidth="1"/>
    <col min="12" max="12" width="24.1640625" style="413" bestFit="1" customWidth="1"/>
    <col min="13" max="13" width="11.33203125" style="413" hidden="1" customWidth="1" outlineLevel="1"/>
    <col min="14" max="14" width="12.83203125" style="413" bestFit="1" customWidth="1" collapsed="1"/>
    <col min="15" max="251" width="9.33203125" style="413"/>
    <col min="252" max="252" width="5" style="413" customWidth="1"/>
    <col min="253" max="253" width="9.33203125" style="413"/>
    <col min="254" max="254" width="21.6640625" style="413" customWidth="1"/>
    <col min="255" max="255" width="13.5" style="413" customWidth="1"/>
    <col min="256" max="256" width="10.5" style="413" customWidth="1"/>
    <col min="257" max="257" width="15.1640625" style="413" customWidth="1"/>
    <col min="258" max="258" width="3.6640625" style="413" customWidth="1"/>
    <col min="259" max="259" width="13.1640625" style="413" customWidth="1"/>
    <col min="260" max="260" width="3.83203125" style="413" customWidth="1"/>
    <col min="261" max="261" width="15" style="413" customWidth="1"/>
    <col min="262" max="262" width="3.6640625" style="413" customWidth="1"/>
    <col min="263" max="264" width="13" style="413" customWidth="1"/>
    <col min="265" max="265" width="0" style="413" hidden="1" customWidth="1"/>
    <col min="266" max="267" width="9.33203125" style="413"/>
    <col min="268" max="268" width="15.83203125" style="413" customWidth="1"/>
    <col min="269" max="507" width="9.33203125" style="413"/>
    <col min="508" max="508" width="5" style="413" customWidth="1"/>
    <col min="509" max="509" width="9.33203125" style="413"/>
    <col min="510" max="510" width="21.6640625" style="413" customWidth="1"/>
    <col min="511" max="511" width="13.5" style="413" customWidth="1"/>
    <col min="512" max="512" width="10.5" style="413" customWidth="1"/>
    <col min="513" max="513" width="15.1640625" style="413" customWidth="1"/>
    <col min="514" max="514" width="3.6640625" style="413" customWidth="1"/>
    <col min="515" max="515" width="13.1640625" style="413" customWidth="1"/>
    <col min="516" max="516" width="3.83203125" style="413" customWidth="1"/>
    <col min="517" max="517" width="15" style="413" customWidth="1"/>
    <col min="518" max="518" width="3.6640625" style="413" customWidth="1"/>
    <col min="519" max="520" width="13" style="413" customWidth="1"/>
    <col min="521" max="521" width="0" style="413" hidden="1" customWidth="1"/>
    <col min="522" max="523" width="9.33203125" style="413"/>
    <col min="524" max="524" width="15.83203125" style="413" customWidth="1"/>
    <col min="525" max="763" width="9.33203125" style="413"/>
    <col min="764" max="764" width="5" style="413" customWidth="1"/>
    <col min="765" max="765" width="9.33203125" style="413"/>
    <col min="766" max="766" width="21.6640625" style="413" customWidth="1"/>
    <col min="767" max="767" width="13.5" style="413" customWidth="1"/>
    <col min="768" max="768" width="10.5" style="413" customWidth="1"/>
    <col min="769" max="769" width="15.1640625" style="413" customWidth="1"/>
    <col min="770" max="770" width="3.6640625" style="413" customWidth="1"/>
    <col min="771" max="771" width="13.1640625" style="413" customWidth="1"/>
    <col min="772" max="772" width="3.83203125" style="413" customWidth="1"/>
    <col min="773" max="773" width="15" style="413" customWidth="1"/>
    <col min="774" max="774" width="3.6640625" style="413" customWidth="1"/>
    <col min="775" max="776" width="13" style="413" customWidth="1"/>
    <col min="777" max="777" width="0" style="413" hidden="1" customWidth="1"/>
    <col min="778" max="779" width="9.33203125" style="413"/>
    <col min="780" max="780" width="15.83203125" style="413" customWidth="1"/>
    <col min="781" max="1019" width="9.33203125" style="413"/>
    <col min="1020" max="1020" width="5" style="413" customWidth="1"/>
    <col min="1021" max="1021" width="9.33203125" style="413"/>
    <col min="1022" max="1022" width="21.6640625" style="413" customWidth="1"/>
    <col min="1023" max="1023" width="13.5" style="413" customWidth="1"/>
    <col min="1024" max="1024" width="10.5" style="413" customWidth="1"/>
    <col min="1025" max="1025" width="15.1640625" style="413" customWidth="1"/>
    <col min="1026" max="1026" width="3.6640625" style="413" customWidth="1"/>
    <col min="1027" max="1027" width="13.1640625" style="413" customWidth="1"/>
    <col min="1028" max="1028" width="3.83203125" style="413" customWidth="1"/>
    <col min="1029" max="1029" width="15" style="413" customWidth="1"/>
    <col min="1030" max="1030" width="3.6640625" style="413" customWidth="1"/>
    <col min="1031" max="1032" width="13" style="413" customWidth="1"/>
    <col min="1033" max="1033" width="0" style="413" hidden="1" customWidth="1"/>
    <col min="1034" max="1035" width="9.33203125" style="413"/>
    <col min="1036" max="1036" width="15.83203125" style="413" customWidth="1"/>
    <col min="1037" max="1275" width="9.33203125" style="413"/>
    <col min="1276" max="1276" width="5" style="413" customWidth="1"/>
    <col min="1277" max="1277" width="9.33203125" style="413"/>
    <col min="1278" max="1278" width="21.6640625" style="413" customWidth="1"/>
    <col min="1279" max="1279" width="13.5" style="413" customWidth="1"/>
    <col min="1280" max="1280" width="10.5" style="413" customWidth="1"/>
    <col min="1281" max="1281" width="15.1640625" style="413" customWidth="1"/>
    <col min="1282" max="1282" width="3.6640625" style="413" customWidth="1"/>
    <col min="1283" max="1283" width="13.1640625" style="413" customWidth="1"/>
    <col min="1284" max="1284" width="3.83203125" style="413" customWidth="1"/>
    <col min="1285" max="1285" width="15" style="413" customWidth="1"/>
    <col min="1286" max="1286" width="3.6640625" style="413" customWidth="1"/>
    <col min="1287" max="1288" width="13" style="413" customWidth="1"/>
    <col min="1289" max="1289" width="0" style="413" hidden="1" customWidth="1"/>
    <col min="1290" max="1291" width="9.33203125" style="413"/>
    <col min="1292" max="1292" width="15.83203125" style="413" customWidth="1"/>
    <col min="1293" max="1531" width="9.33203125" style="413"/>
    <col min="1532" max="1532" width="5" style="413" customWidth="1"/>
    <col min="1533" max="1533" width="9.33203125" style="413"/>
    <col min="1534" max="1534" width="21.6640625" style="413" customWidth="1"/>
    <col min="1535" max="1535" width="13.5" style="413" customWidth="1"/>
    <col min="1536" max="1536" width="10.5" style="413" customWidth="1"/>
    <col min="1537" max="1537" width="15.1640625" style="413" customWidth="1"/>
    <col min="1538" max="1538" width="3.6640625" style="413" customWidth="1"/>
    <col min="1539" max="1539" width="13.1640625" style="413" customWidth="1"/>
    <col min="1540" max="1540" width="3.83203125" style="413" customWidth="1"/>
    <col min="1541" max="1541" width="15" style="413" customWidth="1"/>
    <col min="1542" max="1542" width="3.6640625" style="413" customWidth="1"/>
    <col min="1543" max="1544" width="13" style="413" customWidth="1"/>
    <col min="1545" max="1545" width="0" style="413" hidden="1" customWidth="1"/>
    <col min="1546" max="1547" width="9.33203125" style="413"/>
    <col min="1548" max="1548" width="15.83203125" style="413" customWidth="1"/>
    <col min="1549" max="1787" width="9.33203125" style="413"/>
    <col min="1788" max="1788" width="5" style="413" customWidth="1"/>
    <col min="1789" max="1789" width="9.33203125" style="413"/>
    <col min="1790" max="1790" width="21.6640625" style="413" customWidth="1"/>
    <col min="1791" max="1791" width="13.5" style="413" customWidth="1"/>
    <col min="1792" max="1792" width="10.5" style="413" customWidth="1"/>
    <col min="1793" max="1793" width="15.1640625" style="413" customWidth="1"/>
    <col min="1794" max="1794" width="3.6640625" style="413" customWidth="1"/>
    <col min="1795" max="1795" width="13.1640625" style="413" customWidth="1"/>
    <col min="1796" max="1796" width="3.83203125" style="413" customWidth="1"/>
    <col min="1797" max="1797" width="15" style="413" customWidth="1"/>
    <col min="1798" max="1798" width="3.6640625" style="413" customWidth="1"/>
    <col min="1799" max="1800" width="13" style="413" customWidth="1"/>
    <col min="1801" max="1801" width="0" style="413" hidden="1" customWidth="1"/>
    <col min="1802" max="1803" width="9.33203125" style="413"/>
    <col min="1804" max="1804" width="15.83203125" style="413" customWidth="1"/>
    <col min="1805" max="2043" width="9.33203125" style="413"/>
    <col min="2044" max="2044" width="5" style="413" customWidth="1"/>
    <col min="2045" max="2045" width="9.33203125" style="413"/>
    <col min="2046" max="2046" width="21.6640625" style="413" customWidth="1"/>
    <col min="2047" max="2047" width="13.5" style="413" customWidth="1"/>
    <col min="2048" max="2048" width="10.5" style="413" customWidth="1"/>
    <col min="2049" max="2049" width="15.1640625" style="413" customWidth="1"/>
    <col min="2050" max="2050" width="3.6640625" style="413" customWidth="1"/>
    <col min="2051" max="2051" width="13.1640625" style="413" customWidth="1"/>
    <col min="2052" max="2052" width="3.83203125" style="413" customWidth="1"/>
    <col min="2053" max="2053" width="15" style="413" customWidth="1"/>
    <col min="2054" max="2054" width="3.6640625" style="413" customWidth="1"/>
    <col min="2055" max="2056" width="13" style="413" customWidth="1"/>
    <col min="2057" max="2057" width="0" style="413" hidden="1" customWidth="1"/>
    <col min="2058" max="2059" width="9.33203125" style="413"/>
    <col min="2060" max="2060" width="15.83203125" style="413" customWidth="1"/>
    <col min="2061" max="2299" width="9.33203125" style="413"/>
    <col min="2300" max="2300" width="5" style="413" customWidth="1"/>
    <col min="2301" max="2301" width="9.33203125" style="413"/>
    <col min="2302" max="2302" width="21.6640625" style="413" customWidth="1"/>
    <col min="2303" max="2303" width="13.5" style="413" customWidth="1"/>
    <col min="2304" max="2304" width="10.5" style="413" customWidth="1"/>
    <col min="2305" max="2305" width="15.1640625" style="413" customWidth="1"/>
    <col min="2306" max="2306" width="3.6640625" style="413" customWidth="1"/>
    <col min="2307" max="2307" width="13.1640625" style="413" customWidth="1"/>
    <col min="2308" max="2308" width="3.83203125" style="413" customWidth="1"/>
    <col min="2309" max="2309" width="15" style="413" customWidth="1"/>
    <col min="2310" max="2310" width="3.6640625" style="413" customWidth="1"/>
    <col min="2311" max="2312" width="13" style="413" customWidth="1"/>
    <col min="2313" max="2313" width="0" style="413" hidden="1" customWidth="1"/>
    <col min="2314" max="2315" width="9.33203125" style="413"/>
    <col min="2316" max="2316" width="15.83203125" style="413" customWidth="1"/>
    <col min="2317" max="2555" width="9.33203125" style="413"/>
    <col min="2556" max="2556" width="5" style="413" customWidth="1"/>
    <col min="2557" max="2557" width="9.33203125" style="413"/>
    <col min="2558" max="2558" width="21.6640625" style="413" customWidth="1"/>
    <col min="2559" max="2559" width="13.5" style="413" customWidth="1"/>
    <col min="2560" max="2560" width="10.5" style="413" customWidth="1"/>
    <col min="2561" max="2561" width="15.1640625" style="413" customWidth="1"/>
    <col min="2562" max="2562" width="3.6640625" style="413" customWidth="1"/>
    <col min="2563" max="2563" width="13.1640625" style="413" customWidth="1"/>
    <col min="2564" max="2564" width="3.83203125" style="413" customWidth="1"/>
    <col min="2565" max="2565" width="15" style="413" customWidth="1"/>
    <col min="2566" max="2566" width="3.6640625" style="413" customWidth="1"/>
    <col min="2567" max="2568" width="13" style="413" customWidth="1"/>
    <col min="2569" max="2569" width="0" style="413" hidden="1" customWidth="1"/>
    <col min="2570" max="2571" width="9.33203125" style="413"/>
    <col min="2572" max="2572" width="15.83203125" style="413" customWidth="1"/>
    <col min="2573" max="2811" width="9.33203125" style="413"/>
    <col min="2812" max="2812" width="5" style="413" customWidth="1"/>
    <col min="2813" max="2813" width="9.33203125" style="413"/>
    <col min="2814" max="2814" width="21.6640625" style="413" customWidth="1"/>
    <col min="2815" max="2815" width="13.5" style="413" customWidth="1"/>
    <col min="2816" max="2816" width="10.5" style="413" customWidth="1"/>
    <col min="2817" max="2817" width="15.1640625" style="413" customWidth="1"/>
    <col min="2818" max="2818" width="3.6640625" style="413" customWidth="1"/>
    <col min="2819" max="2819" width="13.1640625" style="413" customWidth="1"/>
    <col min="2820" max="2820" width="3.83203125" style="413" customWidth="1"/>
    <col min="2821" max="2821" width="15" style="413" customWidth="1"/>
    <col min="2822" max="2822" width="3.6640625" style="413" customWidth="1"/>
    <col min="2823" max="2824" width="13" style="413" customWidth="1"/>
    <col min="2825" max="2825" width="0" style="413" hidden="1" customWidth="1"/>
    <col min="2826" max="2827" width="9.33203125" style="413"/>
    <col min="2828" max="2828" width="15.83203125" style="413" customWidth="1"/>
    <col min="2829" max="3067" width="9.33203125" style="413"/>
    <col min="3068" max="3068" width="5" style="413" customWidth="1"/>
    <col min="3069" max="3069" width="9.33203125" style="413"/>
    <col min="3070" max="3070" width="21.6640625" style="413" customWidth="1"/>
    <col min="3071" max="3071" width="13.5" style="413" customWidth="1"/>
    <col min="3072" max="3072" width="10.5" style="413" customWidth="1"/>
    <col min="3073" max="3073" width="15.1640625" style="413" customWidth="1"/>
    <col min="3074" max="3074" width="3.6640625" style="413" customWidth="1"/>
    <col min="3075" max="3075" width="13.1640625" style="413" customWidth="1"/>
    <col min="3076" max="3076" width="3.83203125" style="413" customWidth="1"/>
    <col min="3077" max="3077" width="15" style="413" customWidth="1"/>
    <col min="3078" max="3078" width="3.6640625" style="413" customWidth="1"/>
    <col min="3079" max="3080" width="13" style="413" customWidth="1"/>
    <col min="3081" max="3081" width="0" style="413" hidden="1" customWidth="1"/>
    <col min="3082" max="3083" width="9.33203125" style="413"/>
    <col min="3084" max="3084" width="15.83203125" style="413" customWidth="1"/>
    <col min="3085" max="3323" width="9.33203125" style="413"/>
    <col min="3324" max="3324" width="5" style="413" customWidth="1"/>
    <col min="3325" max="3325" width="9.33203125" style="413"/>
    <col min="3326" max="3326" width="21.6640625" style="413" customWidth="1"/>
    <col min="3327" max="3327" width="13.5" style="413" customWidth="1"/>
    <col min="3328" max="3328" width="10.5" style="413" customWidth="1"/>
    <col min="3329" max="3329" width="15.1640625" style="413" customWidth="1"/>
    <col min="3330" max="3330" width="3.6640625" style="413" customWidth="1"/>
    <col min="3331" max="3331" width="13.1640625" style="413" customWidth="1"/>
    <col min="3332" max="3332" width="3.83203125" style="413" customWidth="1"/>
    <col min="3333" max="3333" width="15" style="413" customWidth="1"/>
    <col min="3334" max="3334" width="3.6640625" style="413" customWidth="1"/>
    <col min="3335" max="3336" width="13" style="413" customWidth="1"/>
    <col min="3337" max="3337" width="0" style="413" hidden="1" customWidth="1"/>
    <col min="3338" max="3339" width="9.33203125" style="413"/>
    <col min="3340" max="3340" width="15.83203125" style="413" customWidth="1"/>
    <col min="3341" max="3579" width="9.33203125" style="413"/>
    <col min="3580" max="3580" width="5" style="413" customWidth="1"/>
    <col min="3581" max="3581" width="9.33203125" style="413"/>
    <col min="3582" max="3582" width="21.6640625" style="413" customWidth="1"/>
    <col min="3583" max="3583" width="13.5" style="413" customWidth="1"/>
    <col min="3584" max="3584" width="10.5" style="413" customWidth="1"/>
    <col min="3585" max="3585" width="15.1640625" style="413" customWidth="1"/>
    <col min="3586" max="3586" width="3.6640625" style="413" customWidth="1"/>
    <col min="3587" max="3587" width="13.1640625" style="413" customWidth="1"/>
    <col min="3588" max="3588" width="3.83203125" style="413" customWidth="1"/>
    <col min="3589" max="3589" width="15" style="413" customWidth="1"/>
    <col min="3590" max="3590" width="3.6640625" style="413" customWidth="1"/>
    <col min="3591" max="3592" width="13" style="413" customWidth="1"/>
    <col min="3593" max="3593" width="0" style="413" hidden="1" customWidth="1"/>
    <col min="3594" max="3595" width="9.33203125" style="413"/>
    <col min="3596" max="3596" width="15.83203125" style="413" customWidth="1"/>
    <col min="3597" max="3835" width="9.33203125" style="413"/>
    <col min="3836" max="3836" width="5" style="413" customWidth="1"/>
    <col min="3837" max="3837" width="9.33203125" style="413"/>
    <col min="3838" max="3838" width="21.6640625" style="413" customWidth="1"/>
    <col min="3839" max="3839" width="13.5" style="413" customWidth="1"/>
    <col min="3840" max="3840" width="10.5" style="413" customWidth="1"/>
    <col min="3841" max="3841" width="15.1640625" style="413" customWidth="1"/>
    <col min="3842" max="3842" width="3.6640625" style="413" customWidth="1"/>
    <col min="3843" max="3843" width="13.1640625" style="413" customWidth="1"/>
    <col min="3844" max="3844" width="3.83203125" style="413" customWidth="1"/>
    <col min="3845" max="3845" width="15" style="413" customWidth="1"/>
    <col min="3846" max="3846" width="3.6640625" style="413" customWidth="1"/>
    <col min="3847" max="3848" width="13" style="413" customWidth="1"/>
    <col min="3849" max="3849" width="0" style="413" hidden="1" customWidth="1"/>
    <col min="3850" max="3851" width="9.33203125" style="413"/>
    <col min="3852" max="3852" width="15.83203125" style="413" customWidth="1"/>
    <col min="3853" max="4091" width="9.33203125" style="413"/>
    <col min="4092" max="4092" width="5" style="413" customWidth="1"/>
    <col min="4093" max="4093" width="9.33203125" style="413"/>
    <col min="4094" max="4094" width="21.6640625" style="413" customWidth="1"/>
    <col min="4095" max="4095" width="13.5" style="413" customWidth="1"/>
    <col min="4096" max="4096" width="10.5" style="413" customWidth="1"/>
    <col min="4097" max="4097" width="15.1640625" style="413" customWidth="1"/>
    <col min="4098" max="4098" width="3.6640625" style="413" customWidth="1"/>
    <col min="4099" max="4099" width="13.1640625" style="413" customWidth="1"/>
    <col min="4100" max="4100" width="3.83203125" style="413" customWidth="1"/>
    <col min="4101" max="4101" width="15" style="413" customWidth="1"/>
    <col min="4102" max="4102" width="3.6640625" style="413" customWidth="1"/>
    <col min="4103" max="4104" width="13" style="413" customWidth="1"/>
    <col min="4105" max="4105" width="0" style="413" hidden="1" customWidth="1"/>
    <col min="4106" max="4107" width="9.33203125" style="413"/>
    <col min="4108" max="4108" width="15.83203125" style="413" customWidth="1"/>
    <col min="4109" max="4347" width="9.33203125" style="413"/>
    <col min="4348" max="4348" width="5" style="413" customWidth="1"/>
    <col min="4349" max="4349" width="9.33203125" style="413"/>
    <col min="4350" max="4350" width="21.6640625" style="413" customWidth="1"/>
    <col min="4351" max="4351" width="13.5" style="413" customWidth="1"/>
    <col min="4352" max="4352" width="10.5" style="413" customWidth="1"/>
    <col min="4353" max="4353" width="15.1640625" style="413" customWidth="1"/>
    <col min="4354" max="4354" width="3.6640625" style="413" customWidth="1"/>
    <col min="4355" max="4355" width="13.1640625" style="413" customWidth="1"/>
    <col min="4356" max="4356" width="3.83203125" style="413" customWidth="1"/>
    <col min="4357" max="4357" width="15" style="413" customWidth="1"/>
    <col min="4358" max="4358" width="3.6640625" style="413" customWidth="1"/>
    <col min="4359" max="4360" width="13" style="413" customWidth="1"/>
    <col min="4361" max="4361" width="0" style="413" hidden="1" customWidth="1"/>
    <col min="4362" max="4363" width="9.33203125" style="413"/>
    <col min="4364" max="4364" width="15.83203125" style="413" customWidth="1"/>
    <col min="4365" max="4603" width="9.33203125" style="413"/>
    <col min="4604" max="4604" width="5" style="413" customWidth="1"/>
    <col min="4605" max="4605" width="9.33203125" style="413"/>
    <col min="4606" max="4606" width="21.6640625" style="413" customWidth="1"/>
    <col min="4607" max="4607" width="13.5" style="413" customWidth="1"/>
    <col min="4608" max="4608" width="10.5" style="413" customWidth="1"/>
    <col min="4609" max="4609" width="15.1640625" style="413" customWidth="1"/>
    <col min="4610" max="4610" width="3.6640625" style="413" customWidth="1"/>
    <col min="4611" max="4611" width="13.1640625" style="413" customWidth="1"/>
    <col min="4612" max="4612" width="3.83203125" style="413" customWidth="1"/>
    <col min="4613" max="4613" width="15" style="413" customWidth="1"/>
    <col min="4614" max="4614" width="3.6640625" style="413" customWidth="1"/>
    <col min="4615" max="4616" width="13" style="413" customWidth="1"/>
    <col min="4617" max="4617" width="0" style="413" hidden="1" customWidth="1"/>
    <col min="4618" max="4619" width="9.33203125" style="413"/>
    <col min="4620" max="4620" width="15.83203125" style="413" customWidth="1"/>
    <col min="4621" max="4859" width="9.33203125" style="413"/>
    <col min="4860" max="4860" width="5" style="413" customWidth="1"/>
    <col min="4861" max="4861" width="9.33203125" style="413"/>
    <col min="4862" max="4862" width="21.6640625" style="413" customWidth="1"/>
    <col min="4863" max="4863" width="13.5" style="413" customWidth="1"/>
    <col min="4864" max="4864" width="10.5" style="413" customWidth="1"/>
    <col min="4865" max="4865" width="15.1640625" style="413" customWidth="1"/>
    <col min="4866" max="4866" width="3.6640625" style="413" customWidth="1"/>
    <col min="4867" max="4867" width="13.1640625" style="413" customWidth="1"/>
    <col min="4868" max="4868" width="3.83203125" style="413" customWidth="1"/>
    <col min="4869" max="4869" width="15" style="413" customWidth="1"/>
    <col min="4870" max="4870" width="3.6640625" style="413" customWidth="1"/>
    <col min="4871" max="4872" width="13" style="413" customWidth="1"/>
    <col min="4873" max="4873" width="0" style="413" hidden="1" customWidth="1"/>
    <col min="4874" max="4875" width="9.33203125" style="413"/>
    <col min="4876" max="4876" width="15.83203125" style="413" customWidth="1"/>
    <col min="4877" max="5115" width="9.33203125" style="413"/>
    <col min="5116" max="5116" width="5" style="413" customWidth="1"/>
    <col min="5117" max="5117" width="9.33203125" style="413"/>
    <col min="5118" max="5118" width="21.6640625" style="413" customWidth="1"/>
    <col min="5119" max="5119" width="13.5" style="413" customWidth="1"/>
    <col min="5120" max="5120" width="10.5" style="413" customWidth="1"/>
    <col min="5121" max="5121" width="15.1640625" style="413" customWidth="1"/>
    <col min="5122" max="5122" width="3.6640625" style="413" customWidth="1"/>
    <col min="5123" max="5123" width="13.1640625" style="413" customWidth="1"/>
    <col min="5124" max="5124" width="3.83203125" style="413" customWidth="1"/>
    <col min="5125" max="5125" width="15" style="413" customWidth="1"/>
    <col min="5126" max="5126" width="3.6640625" style="413" customWidth="1"/>
    <col min="5127" max="5128" width="13" style="413" customWidth="1"/>
    <col min="5129" max="5129" width="0" style="413" hidden="1" customWidth="1"/>
    <col min="5130" max="5131" width="9.33203125" style="413"/>
    <col min="5132" max="5132" width="15.83203125" style="413" customWidth="1"/>
    <col min="5133" max="5371" width="9.33203125" style="413"/>
    <col min="5372" max="5372" width="5" style="413" customWidth="1"/>
    <col min="5373" max="5373" width="9.33203125" style="413"/>
    <col min="5374" max="5374" width="21.6640625" style="413" customWidth="1"/>
    <col min="5375" max="5375" width="13.5" style="413" customWidth="1"/>
    <col min="5376" max="5376" width="10.5" style="413" customWidth="1"/>
    <col min="5377" max="5377" width="15.1640625" style="413" customWidth="1"/>
    <col min="5378" max="5378" width="3.6640625" style="413" customWidth="1"/>
    <col min="5379" max="5379" width="13.1640625" style="413" customWidth="1"/>
    <col min="5380" max="5380" width="3.83203125" style="413" customWidth="1"/>
    <col min="5381" max="5381" width="15" style="413" customWidth="1"/>
    <col min="5382" max="5382" width="3.6640625" style="413" customWidth="1"/>
    <col min="5383" max="5384" width="13" style="413" customWidth="1"/>
    <col min="5385" max="5385" width="0" style="413" hidden="1" customWidth="1"/>
    <col min="5386" max="5387" width="9.33203125" style="413"/>
    <col min="5388" max="5388" width="15.83203125" style="413" customWidth="1"/>
    <col min="5389" max="5627" width="9.33203125" style="413"/>
    <col min="5628" max="5628" width="5" style="413" customWidth="1"/>
    <col min="5629" max="5629" width="9.33203125" style="413"/>
    <col min="5630" max="5630" width="21.6640625" style="413" customWidth="1"/>
    <col min="5631" max="5631" width="13.5" style="413" customWidth="1"/>
    <col min="5632" max="5632" width="10.5" style="413" customWidth="1"/>
    <col min="5633" max="5633" width="15.1640625" style="413" customWidth="1"/>
    <col min="5634" max="5634" width="3.6640625" style="413" customWidth="1"/>
    <col min="5635" max="5635" width="13.1640625" style="413" customWidth="1"/>
    <col min="5636" max="5636" width="3.83203125" style="413" customWidth="1"/>
    <col min="5637" max="5637" width="15" style="413" customWidth="1"/>
    <col min="5638" max="5638" width="3.6640625" style="413" customWidth="1"/>
    <col min="5639" max="5640" width="13" style="413" customWidth="1"/>
    <col min="5641" max="5641" width="0" style="413" hidden="1" customWidth="1"/>
    <col min="5642" max="5643" width="9.33203125" style="413"/>
    <col min="5644" max="5644" width="15.83203125" style="413" customWidth="1"/>
    <col min="5645" max="5883" width="9.33203125" style="413"/>
    <col min="5884" max="5884" width="5" style="413" customWidth="1"/>
    <col min="5885" max="5885" width="9.33203125" style="413"/>
    <col min="5886" max="5886" width="21.6640625" style="413" customWidth="1"/>
    <col min="5887" max="5887" width="13.5" style="413" customWidth="1"/>
    <col min="5888" max="5888" width="10.5" style="413" customWidth="1"/>
    <col min="5889" max="5889" width="15.1640625" style="413" customWidth="1"/>
    <col min="5890" max="5890" width="3.6640625" style="413" customWidth="1"/>
    <col min="5891" max="5891" width="13.1640625" style="413" customWidth="1"/>
    <col min="5892" max="5892" width="3.83203125" style="413" customWidth="1"/>
    <col min="5893" max="5893" width="15" style="413" customWidth="1"/>
    <col min="5894" max="5894" width="3.6640625" style="413" customWidth="1"/>
    <col min="5895" max="5896" width="13" style="413" customWidth="1"/>
    <col min="5897" max="5897" width="0" style="413" hidden="1" customWidth="1"/>
    <col min="5898" max="5899" width="9.33203125" style="413"/>
    <col min="5900" max="5900" width="15.83203125" style="413" customWidth="1"/>
    <col min="5901" max="6139" width="9.33203125" style="413"/>
    <col min="6140" max="6140" width="5" style="413" customWidth="1"/>
    <col min="6141" max="6141" width="9.33203125" style="413"/>
    <col min="6142" max="6142" width="21.6640625" style="413" customWidth="1"/>
    <col min="6143" max="6143" width="13.5" style="413" customWidth="1"/>
    <col min="6144" max="6144" width="10.5" style="413" customWidth="1"/>
    <col min="6145" max="6145" width="15.1640625" style="413" customWidth="1"/>
    <col min="6146" max="6146" width="3.6640625" style="413" customWidth="1"/>
    <col min="6147" max="6147" width="13.1640625" style="413" customWidth="1"/>
    <col min="6148" max="6148" width="3.83203125" style="413" customWidth="1"/>
    <col min="6149" max="6149" width="15" style="413" customWidth="1"/>
    <col min="6150" max="6150" width="3.6640625" style="413" customWidth="1"/>
    <col min="6151" max="6152" width="13" style="413" customWidth="1"/>
    <col min="6153" max="6153" width="0" style="413" hidden="1" customWidth="1"/>
    <col min="6154" max="6155" width="9.33203125" style="413"/>
    <col min="6156" max="6156" width="15.83203125" style="413" customWidth="1"/>
    <col min="6157" max="6395" width="9.33203125" style="413"/>
    <col min="6396" max="6396" width="5" style="413" customWidth="1"/>
    <col min="6397" max="6397" width="9.33203125" style="413"/>
    <col min="6398" max="6398" width="21.6640625" style="413" customWidth="1"/>
    <col min="6399" max="6399" width="13.5" style="413" customWidth="1"/>
    <col min="6400" max="6400" width="10.5" style="413" customWidth="1"/>
    <col min="6401" max="6401" width="15.1640625" style="413" customWidth="1"/>
    <col min="6402" max="6402" width="3.6640625" style="413" customWidth="1"/>
    <col min="6403" max="6403" width="13.1640625" style="413" customWidth="1"/>
    <col min="6404" max="6404" width="3.83203125" style="413" customWidth="1"/>
    <col min="6405" max="6405" width="15" style="413" customWidth="1"/>
    <col min="6406" max="6406" width="3.6640625" style="413" customWidth="1"/>
    <col min="6407" max="6408" width="13" style="413" customWidth="1"/>
    <col min="6409" max="6409" width="0" style="413" hidden="1" customWidth="1"/>
    <col min="6410" max="6411" width="9.33203125" style="413"/>
    <col min="6412" max="6412" width="15.83203125" style="413" customWidth="1"/>
    <col min="6413" max="6651" width="9.33203125" style="413"/>
    <col min="6652" max="6652" width="5" style="413" customWidth="1"/>
    <col min="6653" max="6653" width="9.33203125" style="413"/>
    <col min="6654" max="6654" width="21.6640625" style="413" customWidth="1"/>
    <col min="6655" max="6655" width="13.5" style="413" customWidth="1"/>
    <col min="6656" max="6656" width="10.5" style="413" customWidth="1"/>
    <col min="6657" max="6657" width="15.1640625" style="413" customWidth="1"/>
    <col min="6658" max="6658" width="3.6640625" style="413" customWidth="1"/>
    <col min="6659" max="6659" width="13.1640625" style="413" customWidth="1"/>
    <col min="6660" max="6660" width="3.83203125" style="413" customWidth="1"/>
    <col min="6661" max="6661" width="15" style="413" customWidth="1"/>
    <col min="6662" max="6662" width="3.6640625" style="413" customWidth="1"/>
    <col min="6663" max="6664" width="13" style="413" customWidth="1"/>
    <col min="6665" max="6665" width="0" style="413" hidden="1" customWidth="1"/>
    <col min="6666" max="6667" width="9.33203125" style="413"/>
    <col min="6668" max="6668" width="15.83203125" style="413" customWidth="1"/>
    <col min="6669" max="6907" width="9.33203125" style="413"/>
    <col min="6908" max="6908" width="5" style="413" customWidth="1"/>
    <col min="6909" max="6909" width="9.33203125" style="413"/>
    <col min="6910" max="6910" width="21.6640625" style="413" customWidth="1"/>
    <col min="6911" max="6911" width="13.5" style="413" customWidth="1"/>
    <col min="6912" max="6912" width="10.5" style="413" customWidth="1"/>
    <col min="6913" max="6913" width="15.1640625" style="413" customWidth="1"/>
    <col min="6914" max="6914" width="3.6640625" style="413" customWidth="1"/>
    <col min="6915" max="6915" width="13.1640625" style="413" customWidth="1"/>
    <col min="6916" max="6916" width="3.83203125" style="413" customWidth="1"/>
    <col min="6917" max="6917" width="15" style="413" customWidth="1"/>
    <col min="6918" max="6918" width="3.6640625" style="413" customWidth="1"/>
    <col min="6919" max="6920" width="13" style="413" customWidth="1"/>
    <col min="6921" max="6921" width="0" style="413" hidden="1" customWidth="1"/>
    <col min="6922" max="6923" width="9.33203125" style="413"/>
    <col min="6924" max="6924" width="15.83203125" style="413" customWidth="1"/>
    <col min="6925" max="7163" width="9.33203125" style="413"/>
    <col min="7164" max="7164" width="5" style="413" customWidth="1"/>
    <col min="7165" max="7165" width="9.33203125" style="413"/>
    <col min="7166" max="7166" width="21.6640625" style="413" customWidth="1"/>
    <col min="7167" max="7167" width="13.5" style="413" customWidth="1"/>
    <col min="7168" max="7168" width="10.5" style="413" customWidth="1"/>
    <col min="7169" max="7169" width="15.1640625" style="413" customWidth="1"/>
    <col min="7170" max="7170" width="3.6640625" style="413" customWidth="1"/>
    <col min="7171" max="7171" width="13.1640625" style="413" customWidth="1"/>
    <col min="7172" max="7172" width="3.83203125" style="413" customWidth="1"/>
    <col min="7173" max="7173" width="15" style="413" customWidth="1"/>
    <col min="7174" max="7174" width="3.6640625" style="413" customWidth="1"/>
    <col min="7175" max="7176" width="13" style="413" customWidth="1"/>
    <col min="7177" max="7177" width="0" style="413" hidden="1" customWidth="1"/>
    <col min="7178" max="7179" width="9.33203125" style="413"/>
    <col min="7180" max="7180" width="15.83203125" style="413" customWidth="1"/>
    <col min="7181" max="7419" width="9.33203125" style="413"/>
    <col min="7420" max="7420" width="5" style="413" customWidth="1"/>
    <col min="7421" max="7421" width="9.33203125" style="413"/>
    <col min="7422" max="7422" width="21.6640625" style="413" customWidth="1"/>
    <col min="7423" max="7423" width="13.5" style="413" customWidth="1"/>
    <col min="7424" max="7424" width="10.5" style="413" customWidth="1"/>
    <col min="7425" max="7425" width="15.1640625" style="413" customWidth="1"/>
    <col min="7426" max="7426" width="3.6640625" style="413" customWidth="1"/>
    <col min="7427" max="7427" width="13.1640625" style="413" customWidth="1"/>
    <col min="7428" max="7428" width="3.83203125" style="413" customWidth="1"/>
    <col min="7429" max="7429" width="15" style="413" customWidth="1"/>
    <col min="7430" max="7430" width="3.6640625" style="413" customWidth="1"/>
    <col min="7431" max="7432" width="13" style="413" customWidth="1"/>
    <col min="7433" max="7433" width="0" style="413" hidden="1" customWidth="1"/>
    <col min="7434" max="7435" width="9.33203125" style="413"/>
    <col min="7436" max="7436" width="15.83203125" style="413" customWidth="1"/>
    <col min="7437" max="7675" width="9.33203125" style="413"/>
    <col min="7676" max="7676" width="5" style="413" customWidth="1"/>
    <col min="7677" max="7677" width="9.33203125" style="413"/>
    <col min="7678" max="7678" width="21.6640625" style="413" customWidth="1"/>
    <col min="7679" max="7679" width="13.5" style="413" customWidth="1"/>
    <col min="7680" max="7680" width="10.5" style="413" customWidth="1"/>
    <col min="7681" max="7681" width="15.1640625" style="413" customWidth="1"/>
    <col min="7682" max="7682" width="3.6640625" style="413" customWidth="1"/>
    <col min="7683" max="7683" width="13.1640625" style="413" customWidth="1"/>
    <col min="7684" max="7684" width="3.83203125" style="413" customWidth="1"/>
    <col min="7685" max="7685" width="15" style="413" customWidth="1"/>
    <col min="7686" max="7686" width="3.6640625" style="413" customWidth="1"/>
    <col min="7687" max="7688" width="13" style="413" customWidth="1"/>
    <col min="7689" max="7689" width="0" style="413" hidden="1" customWidth="1"/>
    <col min="7690" max="7691" width="9.33203125" style="413"/>
    <col min="7692" max="7692" width="15.83203125" style="413" customWidth="1"/>
    <col min="7693" max="7931" width="9.33203125" style="413"/>
    <col min="7932" max="7932" width="5" style="413" customWidth="1"/>
    <col min="7933" max="7933" width="9.33203125" style="413"/>
    <col min="7934" max="7934" width="21.6640625" style="413" customWidth="1"/>
    <col min="7935" max="7935" width="13.5" style="413" customWidth="1"/>
    <col min="7936" max="7936" width="10.5" style="413" customWidth="1"/>
    <col min="7937" max="7937" width="15.1640625" style="413" customWidth="1"/>
    <col min="7938" max="7938" width="3.6640625" style="413" customWidth="1"/>
    <col min="7939" max="7939" width="13.1640625" style="413" customWidth="1"/>
    <col min="7940" max="7940" width="3.83203125" style="413" customWidth="1"/>
    <col min="7941" max="7941" width="15" style="413" customWidth="1"/>
    <col min="7942" max="7942" width="3.6640625" style="413" customWidth="1"/>
    <col min="7943" max="7944" width="13" style="413" customWidth="1"/>
    <col min="7945" max="7945" width="0" style="413" hidden="1" customWidth="1"/>
    <col min="7946" max="7947" width="9.33203125" style="413"/>
    <col min="7948" max="7948" width="15.83203125" style="413" customWidth="1"/>
    <col min="7949" max="8187" width="9.33203125" style="413"/>
    <col min="8188" max="8188" width="5" style="413" customWidth="1"/>
    <col min="8189" max="8189" width="9.33203125" style="413"/>
    <col min="8190" max="8190" width="21.6640625" style="413" customWidth="1"/>
    <col min="8191" max="8191" width="13.5" style="413" customWidth="1"/>
    <col min="8192" max="8192" width="10.5" style="413" customWidth="1"/>
    <col min="8193" max="8193" width="15.1640625" style="413" customWidth="1"/>
    <col min="8194" max="8194" width="3.6640625" style="413" customWidth="1"/>
    <col min="8195" max="8195" width="13.1640625" style="413" customWidth="1"/>
    <col min="8196" max="8196" width="3.83203125" style="413" customWidth="1"/>
    <col min="8197" max="8197" width="15" style="413" customWidth="1"/>
    <col min="8198" max="8198" width="3.6640625" style="413" customWidth="1"/>
    <col min="8199" max="8200" width="13" style="413" customWidth="1"/>
    <col min="8201" max="8201" width="0" style="413" hidden="1" customWidth="1"/>
    <col min="8202" max="8203" width="9.33203125" style="413"/>
    <col min="8204" max="8204" width="15.83203125" style="413" customWidth="1"/>
    <col min="8205" max="8443" width="9.33203125" style="413"/>
    <col min="8444" max="8444" width="5" style="413" customWidth="1"/>
    <col min="8445" max="8445" width="9.33203125" style="413"/>
    <col min="8446" max="8446" width="21.6640625" style="413" customWidth="1"/>
    <col min="8447" max="8447" width="13.5" style="413" customWidth="1"/>
    <col min="8448" max="8448" width="10.5" style="413" customWidth="1"/>
    <col min="8449" max="8449" width="15.1640625" style="413" customWidth="1"/>
    <col min="8450" max="8450" width="3.6640625" style="413" customWidth="1"/>
    <col min="8451" max="8451" width="13.1640625" style="413" customWidth="1"/>
    <col min="8452" max="8452" width="3.83203125" style="413" customWidth="1"/>
    <col min="8453" max="8453" width="15" style="413" customWidth="1"/>
    <col min="8454" max="8454" width="3.6640625" style="413" customWidth="1"/>
    <col min="8455" max="8456" width="13" style="413" customWidth="1"/>
    <col min="8457" max="8457" width="0" style="413" hidden="1" customWidth="1"/>
    <col min="8458" max="8459" width="9.33203125" style="413"/>
    <col min="8460" max="8460" width="15.83203125" style="413" customWidth="1"/>
    <col min="8461" max="8699" width="9.33203125" style="413"/>
    <col min="8700" max="8700" width="5" style="413" customWidth="1"/>
    <col min="8701" max="8701" width="9.33203125" style="413"/>
    <col min="8702" max="8702" width="21.6640625" style="413" customWidth="1"/>
    <col min="8703" max="8703" width="13.5" style="413" customWidth="1"/>
    <col min="8704" max="8704" width="10.5" style="413" customWidth="1"/>
    <col min="8705" max="8705" width="15.1640625" style="413" customWidth="1"/>
    <col min="8706" max="8706" width="3.6640625" style="413" customWidth="1"/>
    <col min="8707" max="8707" width="13.1640625" style="413" customWidth="1"/>
    <col min="8708" max="8708" width="3.83203125" style="413" customWidth="1"/>
    <col min="8709" max="8709" width="15" style="413" customWidth="1"/>
    <col min="8710" max="8710" width="3.6640625" style="413" customWidth="1"/>
    <col min="8711" max="8712" width="13" style="413" customWidth="1"/>
    <col min="8713" max="8713" width="0" style="413" hidden="1" customWidth="1"/>
    <col min="8714" max="8715" width="9.33203125" style="413"/>
    <col min="8716" max="8716" width="15.83203125" style="413" customWidth="1"/>
    <col min="8717" max="8955" width="9.33203125" style="413"/>
    <col min="8956" max="8956" width="5" style="413" customWidth="1"/>
    <col min="8957" max="8957" width="9.33203125" style="413"/>
    <col min="8958" max="8958" width="21.6640625" style="413" customWidth="1"/>
    <col min="8959" max="8959" width="13.5" style="413" customWidth="1"/>
    <col min="8960" max="8960" width="10.5" style="413" customWidth="1"/>
    <col min="8961" max="8961" width="15.1640625" style="413" customWidth="1"/>
    <col min="8962" max="8962" width="3.6640625" style="413" customWidth="1"/>
    <col min="8963" max="8963" width="13.1640625" style="413" customWidth="1"/>
    <col min="8964" max="8964" width="3.83203125" style="413" customWidth="1"/>
    <col min="8965" max="8965" width="15" style="413" customWidth="1"/>
    <col min="8966" max="8966" width="3.6640625" style="413" customWidth="1"/>
    <col min="8967" max="8968" width="13" style="413" customWidth="1"/>
    <col min="8969" max="8969" width="0" style="413" hidden="1" customWidth="1"/>
    <col min="8970" max="8971" width="9.33203125" style="413"/>
    <col min="8972" max="8972" width="15.83203125" style="413" customWidth="1"/>
    <col min="8973" max="9211" width="9.33203125" style="413"/>
    <col min="9212" max="9212" width="5" style="413" customWidth="1"/>
    <col min="9213" max="9213" width="9.33203125" style="413"/>
    <col min="9214" max="9214" width="21.6640625" style="413" customWidth="1"/>
    <col min="9215" max="9215" width="13.5" style="413" customWidth="1"/>
    <col min="9216" max="9216" width="10.5" style="413" customWidth="1"/>
    <col min="9217" max="9217" width="15.1640625" style="413" customWidth="1"/>
    <col min="9218" max="9218" width="3.6640625" style="413" customWidth="1"/>
    <col min="9219" max="9219" width="13.1640625" style="413" customWidth="1"/>
    <col min="9220" max="9220" width="3.83203125" style="413" customWidth="1"/>
    <col min="9221" max="9221" width="15" style="413" customWidth="1"/>
    <col min="9222" max="9222" width="3.6640625" style="413" customWidth="1"/>
    <col min="9223" max="9224" width="13" style="413" customWidth="1"/>
    <col min="9225" max="9225" width="0" style="413" hidden="1" customWidth="1"/>
    <col min="9226" max="9227" width="9.33203125" style="413"/>
    <col min="9228" max="9228" width="15.83203125" style="413" customWidth="1"/>
    <col min="9229" max="9467" width="9.33203125" style="413"/>
    <col min="9468" max="9468" width="5" style="413" customWidth="1"/>
    <col min="9469" max="9469" width="9.33203125" style="413"/>
    <col min="9470" max="9470" width="21.6640625" style="413" customWidth="1"/>
    <col min="9471" max="9471" width="13.5" style="413" customWidth="1"/>
    <col min="9472" max="9472" width="10.5" style="413" customWidth="1"/>
    <col min="9473" max="9473" width="15.1640625" style="413" customWidth="1"/>
    <col min="9474" max="9474" width="3.6640625" style="413" customWidth="1"/>
    <col min="9475" max="9475" width="13.1640625" style="413" customWidth="1"/>
    <col min="9476" max="9476" width="3.83203125" style="413" customWidth="1"/>
    <col min="9477" max="9477" width="15" style="413" customWidth="1"/>
    <col min="9478" max="9478" width="3.6640625" style="413" customWidth="1"/>
    <col min="9479" max="9480" width="13" style="413" customWidth="1"/>
    <col min="9481" max="9481" width="0" style="413" hidden="1" customWidth="1"/>
    <col min="9482" max="9483" width="9.33203125" style="413"/>
    <col min="9484" max="9484" width="15.83203125" style="413" customWidth="1"/>
    <col min="9485" max="9723" width="9.33203125" style="413"/>
    <col min="9724" max="9724" width="5" style="413" customWidth="1"/>
    <col min="9725" max="9725" width="9.33203125" style="413"/>
    <col min="9726" max="9726" width="21.6640625" style="413" customWidth="1"/>
    <col min="9727" max="9727" width="13.5" style="413" customWidth="1"/>
    <col min="9728" max="9728" width="10.5" style="413" customWidth="1"/>
    <col min="9729" max="9729" width="15.1640625" style="413" customWidth="1"/>
    <col min="9730" max="9730" width="3.6640625" style="413" customWidth="1"/>
    <col min="9731" max="9731" width="13.1640625" style="413" customWidth="1"/>
    <col min="9732" max="9732" width="3.83203125" style="413" customWidth="1"/>
    <col min="9733" max="9733" width="15" style="413" customWidth="1"/>
    <col min="9734" max="9734" width="3.6640625" style="413" customWidth="1"/>
    <col min="9735" max="9736" width="13" style="413" customWidth="1"/>
    <col min="9737" max="9737" width="0" style="413" hidden="1" customWidth="1"/>
    <col min="9738" max="9739" width="9.33203125" style="413"/>
    <col min="9740" max="9740" width="15.83203125" style="413" customWidth="1"/>
    <col min="9741" max="9979" width="9.33203125" style="413"/>
    <col min="9980" max="9980" width="5" style="413" customWidth="1"/>
    <col min="9981" max="9981" width="9.33203125" style="413"/>
    <col min="9982" max="9982" width="21.6640625" style="413" customWidth="1"/>
    <col min="9983" max="9983" width="13.5" style="413" customWidth="1"/>
    <col min="9984" max="9984" width="10.5" style="413" customWidth="1"/>
    <col min="9985" max="9985" width="15.1640625" style="413" customWidth="1"/>
    <col min="9986" max="9986" width="3.6640625" style="413" customWidth="1"/>
    <col min="9987" max="9987" width="13.1640625" style="413" customWidth="1"/>
    <col min="9988" max="9988" width="3.83203125" style="413" customWidth="1"/>
    <col min="9989" max="9989" width="15" style="413" customWidth="1"/>
    <col min="9990" max="9990" width="3.6640625" style="413" customWidth="1"/>
    <col min="9991" max="9992" width="13" style="413" customWidth="1"/>
    <col min="9993" max="9993" width="0" style="413" hidden="1" customWidth="1"/>
    <col min="9994" max="9995" width="9.33203125" style="413"/>
    <col min="9996" max="9996" width="15.83203125" style="413" customWidth="1"/>
    <col min="9997" max="10235" width="9.33203125" style="413"/>
    <col min="10236" max="10236" width="5" style="413" customWidth="1"/>
    <col min="10237" max="10237" width="9.33203125" style="413"/>
    <col min="10238" max="10238" width="21.6640625" style="413" customWidth="1"/>
    <col min="10239" max="10239" width="13.5" style="413" customWidth="1"/>
    <col min="10240" max="10240" width="10.5" style="413" customWidth="1"/>
    <col min="10241" max="10241" width="15.1640625" style="413" customWidth="1"/>
    <col min="10242" max="10242" width="3.6640625" style="413" customWidth="1"/>
    <col min="10243" max="10243" width="13.1640625" style="413" customWidth="1"/>
    <col min="10244" max="10244" width="3.83203125" style="413" customWidth="1"/>
    <col min="10245" max="10245" width="15" style="413" customWidth="1"/>
    <col min="10246" max="10246" width="3.6640625" style="413" customWidth="1"/>
    <col min="10247" max="10248" width="13" style="413" customWidth="1"/>
    <col min="10249" max="10249" width="0" style="413" hidden="1" customWidth="1"/>
    <col min="10250" max="10251" width="9.33203125" style="413"/>
    <col min="10252" max="10252" width="15.83203125" style="413" customWidth="1"/>
    <col min="10253" max="10491" width="9.33203125" style="413"/>
    <col min="10492" max="10492" width="5" style="413" customWidth="1"/>
    <col min="10493" max="10493" width="9.33203125" style="413"/>
    <col min="10494" max="10494" width="21.6640625" style="413" customWidth="1"/>
    <col min="10495" max="10495" width="13.5" style="413" customWidth="1"/>
    <col min="10496" max="10496" width="10.5" style="413" customWidth="1"/>
    <col min="10497" max="10497" width="15.1640625" style="413" customWidth="1"/>
    <col min="10498" max="10498" width="3.6640625" style="413" customWidth="1"/>
    <col min="10499" max="10499" width="13.1640625" style="413" customWidth="1"/>
    <col min="10500" max="10500" width="3.83203125" style="413" customWidth="1"/>
    <col min="10501" max="10501" width="15" style="413" customWidth="1"/>
    <col min="10502" max="10502" width="3.6640625" style="413" customWidth="1"/>
    <col min="10503" max="10504" width="13" style="413" customWidth="1"/>
    <col min="10505" max="10505" width="0" style="413" hidden="1" customWidth="1"/>
    <col min="10506" max="10507" width="9.33203125" style="413"/>
    <col min="10508" max="10508" width="15.83203125" style="413" customWidth="1"/>
    <col min="10509" max="10747" width="9.33203125" style="413"/>
    <col min="10748" max="10748" width="5" style="413" customWidth="1"/>
    <col min="10749" max="10749" width="9.33203125" style="413"/>
    <col min="10750" max="10750" width="21.6640625" style="413" customWidth="1"/>
    <col min="10751" max="10751" width="13.5" style="413" customWidth="1"/>
    <col min="10752" max="10752" width="10.5" style="413" customWidth="1"/>
    <col min="10753" max="10753" width="15.1640625" style="413" customWidth="1"/>
    <col min="10754" max="10754" width="3.6640625" style="413" customWidth="1"/>
    <col min="10755" max="10755" width="13.1640625" style="413" customWidth="1"/>
    <col min="10756" max="10756" width="3.83203125" style="413" customWidth="1"/>
    <col min="10757" max="10757" width="15" style="413" customWidth="1"/>
    <col min="10758" max="10758" width="3.6640625" style="413" customWidth="1"/>
    <col min="10759" max="10760" width="13" style="413" customWidth="1"/>
    <col min="10761" max="10761" width="0" style="413" hidden="1" customWidth="1"/>
    <col min="10762" max="10763" width="9.33203125" style="413"/>
    <col min="10764" max="10764" width="15.83203125" style="413" customWidth="1"/>
    <col min="10765" max="11003" width="9.33203125" style="413"/>
    <col min="11004" max="11004" width="5" style="413" customWidth="1"/>
    <col min="11005" max="11005" width="9.33203125" style="413"/>
    <col min="11006" max="11006" width="21.6640625" style="413" customWidth="1"/>
    <col min="11007" max="11007" width="13.5" style="413" customWidth="1"/>
    <col min="11008" max="11008" width="10.5" style="413" customWidth="1"/>
    <col min="11009" max="11009" width="15.1640625" style="413" customWidth="1"/>
    <col min="11010" max="11010" width="3.6640625" style="413" customWidth="1"/>
    <col min="11011" max="11011" width="13.1640625" style="413" customWidth="1"/>
    <col min="11012" max="11012" width="3.83203125" style="413" customWidth="1"/>
    <col min="11013" max="11013" width="15" style="413" customWidth="1"/>
    <col min="11014" max="11014" width="3.6640625" style="413" customWidth="1"/>
    <col min="11015" max="11016" width="13" style="413" customWidth="1"/>
    <col min="11017" max="11017" width="0" style="413" hidden="1" customWidth="1"/>
    <col min="11018" max="11019" width="9.33203125" style="413"/>
    <col min="11020" max="11020" width="15.83203125" style="413" customWidth="1"/>
    <col min="11021" max="11259" width="9.33203125" style="413"/>
    <col min="11260" max="11260" width="5" style="413" customWidth="1"/>
    <col min="11261" max="11261" width="9.33203125" style="413"/>
    <col min="11262" max="11262" width="21.6640625" style="413" customWidth="1"/>
    <col min="11263" max="11263" width="13.5" style="413" customWidth="1"/>
    <col min="11264" max="11264" width="10.5" style="413" customWidth="1"/>
    <col min="11265" max="11265" width="15.1640625" style="413" customWidth="1"/>
    <col min="11266" max="11266" width="3.6640625" style="413" customWidth="1"/>
    <col min="11267" max="11267" width="13.1640625" style="413" customWidth="1"/>
    <col min="11268" max="11268" width="3.83203125" style="413" customWidth="1"/>
    <col min="11269" max="11269" width="15" style="413" customWidth="1"/>
    <col min="11270" max="11270" width="3.6640625" style="413" customWidth="1"/>
    <col min="11271" max="11272" width="13" style="413" customWidth="1"/>
    <col min="11273" max="11273" width="0" style="413" hidden="1" customWidth="1"/>
    <col min="11274" max="11275" width="9.33203125" style="413"/>
    <col min="11276" max="11276" width="15.83203125" style="413" customWidth="1"/>
    <col min="11277" max="11515" width="9.33203125" style="413"/>
    <col min="11516" max="11516" width="5" style="413" customWidth="1"/>
    <col min="11517" max="11517" width="9.33203125" style="413"/>
    <col min="11518" max="11518" width="21.6640625" style="413" customWidth="1"/>
    <col min="11519" max="11519" width="13.5" style="413" customWidth="1"/>
    <col min="11520" max="11520" width="10.5" style="413" customWidth="1"/>
    <col min="11521" max="11521" width="15.1640625" style="413" customWidth="1"/>
    <col min="11522" max="11522" width="3.6640625" style="413" customWidth="1"/>
    <col min="11523" max="11523" width="13.1640625" style="413" customWidth="1"/>
    <col min="11524" max="11524" width="3.83203125" style="413" customWidth="1"/>
    <col min="11525" max="11525" width="15" style="413" customWidth="1"/>
    <col min="11526" max="11526" width="3.6640625" style="413" customWidth="1"/>
    <col min="11527" max="11528" width="13" style="413" customWidth="1"/>
    <col min="11529" max="11529" width="0" style="413" hidden="1" customWidth="1"/>
    <col min="11530" max="11531" width="9.33203125" style="413"/>
    <col min="11532" max="11532" width="15.83203125" style="413" customWidth="1"/>
    <col min="11533" max="11771" width="9.33203125" style="413"/>
    <col min="11772" max="11772" width="5" style="413" customWidth="1"/>
    <col min="11773" max="11773" width="9.33203125" style="413"/>
    <col min="11774" max="11774" width="21.6640625" style="413" customWidth="1"/>
    <col min="11775" max="11775" width="13.5" style="413" customWidth="1"/>
    <col min="11776" max="11776" width="10.5" style="413" customWidth="1"/>
    <col min="11777" max="11777" width="15.1640625" style="413" customWidth="1"/>
    <col min="11778" max="11778" width="3.6640625" style="413" customWidth="1"/>
    <col min="11779" max="11779" width="13.1640625" style="413" customWidth="1"/>
    <col min="11780" max="11780" width="3.83203125" style="413" customWidth="1"/>
    <col min="11781" max="11781" width="15" style="413" customWidth="1"/>
    <col min="11782" max="11782" width="3.6640625" style="413" customWidth="1"/>
    <col min="11783" max="11784" width="13" style="413" customWidth="1"/>
    <col min="11785" max="11785" width="0" style="413" hidden="1" customWidth="1"/>
    <col min="11786" max="11787" width="9.33203125" style="413"/>
    <col min="11788" max="11788" width="15.83203125" style="413" customWidth="1"/>
    <col min="11789" max="12027" width="9.33203125" style="413"/>
    <col min="12028" max="12028" width="5" style="413" customWidth="1"/>
    <col min="12029" max="12029" width="9.33203125" style="413"/>
    <col min="12030" max="12030" width="21.6640625" style="413" customWidth="1"/>
    <col min="12031" max="12031" width="13.5" style="413" customWidth="1"/>
    <col min="12032" max="12032" width="10.5" style="413" customWidth="1"/>
    <col min="12033" max="12033" width="15.1640625" style="413" customWidth="1"/>
    <col min="12034" max="12034" width="3.6640625" style="413" customWidth="1"/>
    <col min="12035" max="12035" width="13.1640625" style="413" customWidth="1"/>
    <col min="12036" max="12036" width="3.83203125" style="413" customWidth="1"/>
    <col min="12037" max="12037" width="15" style="413" customWidth="1"/>
    <col min="12038" max="12038" width="3.6640625" style="413" customWidth="1"/>
    <col min="12039" max="12040" width="13" style="413" customWidth="1"/>
    <col min="12041" max="12041" width="0" style="413" hidden="1" customWidth="1"/>
    <col min="12042" max="12043" width="9.33203125" style="413"/>
    <col min="12044" max="12044" width="15.83203125" style="413" customWidth="1"/>
    <col min="12045" max="12283" width="9.33203125" style="413"/>
    <col min="12284" max="12284" width="5" style="413" customWidth="1"/>
    <col min="12285" max="12285" width="9.33203125" style="413"/>
    <col min="12286" max="12286" width="21.6640625" style="413" customWidth="1"/>
    <col min="12287" max="12287" width="13.5" style="413" customWidth="1"/>
    <col min="12288" max="12288" width="10.5" style="413" customWidth="1"/>
    <col min="12289" max="12289" width="15.1640625" style="413" customWidth="1"/>
    <col min="12290" max="12290" width="3.6640625" style="413" customWidth="1"/>
    <col min="12291" max="12291" width="13.1640625" style="413" customWidth="1"/>
    <col min="12292" max="12292" width="3.83203125" style="413" customWidth="1"/>
    <col min="12293" max="12293" width="15" style="413" customWidth="1"/>
    <col min="12294" max="12294" width="3.6640625" style="413" customWidth="1"/>
    <col min="12295" max="12296" width="13" style="413" customWidth="1"/>
    <col min="12297" max="12297" width="0" style="413" hidden="1" customWidth="1"/>
    <col min="12298" max="12299" width="9.33203125" style="413"/>
    <col min="12300" max="12300" width="15.83203125" style="413" customWidth="1"/>
    <col min="12301" max="12539" width="9.33203125" style="413"/>
    <col min="12540" max="12540" width="5" style="413" customWidth="1"/>
    <col min="12541" max="12541" width="9.33203125" style="413"/>
    <col min="12542" max="12542" width="21.6640625" style="413" customWidth="1"/>
    <col min="12543" max="12543" width="13.5" style="413" customWidth="1"/>
    <col min="12544" max="12544" width="10.5" style="413" customWidth="1"/>
    <col min="12545" max="12545" width="15.1640625" style="413" customWidth="1"/>
    <col min="12546" max="12546" width="3.6640625" style="413" customWidth="1"/>
    <col min="12547" max="12547" width="13.1640625" style="413" customWidth="1"/>
    <col min="12548" max="12548" width="3.83203125" style="413" customWidth="1"/>
    <col min="12549" max="12549" width="15" style="413" customWidth="1"/>
    <col min="12550" max="12550" width="3.6640625" style="413" customWidth="1"/>
    <col min="12551" max="12552" width="13" style="413" customWidth="1"/>
    <col min="12553" max="12553" width="0" style="413" hidden="1" customWidth="1"/>
    <col min="12554" max="12555" width="9.33203125" style="413"/>
    <col min="12556" max="12556" width="15.83203125" style="413" customWidth="1"/>
    <col min="12557" max="12795" width="9.33203125" style="413"/>
    <col min="12796" max="12796" width="5" style="413" customWidth="1"/>
    <col min="12797" max="12797" width="9.33203125" style="413"/>
    <col min="12798" max="12798" width="21.6640625" style="413" customWidth="1"/>
    <col min="12799" max="12799" width="13.5" style="413" customWidth="1"/>
    <col min="12800" max="12800" width="10.5" style="413" customWidth="1"/>
    <col min="12801" max="12801" width="15.1640625" style="413" customWidth="1"/>
    <col min="12802" max="12802" width="3.6640625" style="413" customWidth="1"/>
    <col min="12803" max="12803" width="13.1640625" style="413" customWidth="1"/>
    <col min="12804" max="12804" width="3.83203125" style="413" customWidth="1"/>
    <col min="12805" max="12805" width="15" style="413" customWidth="1"/>
    <col min="12806" max="12806" width="3.6640625" style="413" customWidth="1"/>
    <col min="12807" max="12808" width="13" style="413" customWidth="1"/>
    <col min="12809" max="12809" width="0" style="413" hidden="1" customWidth="1"/>
    <col min="12810" max="12811" width="9.33203125" style="413"/>
    <col min="12812" max="12812" width="15.83203125" style="413" customWidth="1"/>
    <col min="12813" max="13051" width="9.33203125" style="413"/>
    <col min="13052" max="13052" width="5" style="413" customWidth="1"/>
    <col min="13053" max="13053" width="9.33203125" style="413"/>
    <col min="13054" max="13054" width="21.6640625" style="413" customWidth="1"/>
    <col min="13055" max="13055" width="13.5" style="413" customWidth="1"/>
    <col min="13056" max="13056" width="10.5" style="413" customWidth="1"/>
    <col min="13057" max="13057" width="15.1640625" style="413" customWidth="1"/>
    <col min="13058" max="13058" width="3.6640625" style="413" customWidth="1"/>
    <col min="13059" max="13059" width="13.1640625" style="413" customWidth="1"/>
    <col min="13060" max="13060" width="3.83203125" style="413" customWidth="1"/>
    <col min="13061" max="13061" width="15" style="413" customWidth="1"/>
    <col min="13062" max="13062" width="3.6640625" style="413" customWidth="1"/>
    <col min="13063" max="13064" width="13" style="413" customWidth="1"/>
    <col min="13065" max="13065" width="0" style="413" hidden="1" customWidth="1"/>
    <col min="13066" max="13067" width="9.33203125" style="413"/>
    <col min="13068" max="13068" width="15.83203125" style="413" customWidth="1"/>
    <col min="13069" max="13307" width="9.33203125" style="413"/>
    <col min="13308" max="13308" width="5" style="413" customWidth="1"/>
    <col min="13309" max="13309" width="9.33203125" style="413"/>
    <col min="13310" max="13310" width="21.6640625" style="413" customWidth="1"/>
    <col min="13311" max="13311" width="13.5" style="413" customWidth="1"/>
    <col min="13312" max="13312" width="10.5" style="413" customWidth="1"/>
    <col min="13313" max="13313" width="15.1640625" style="413" customWidth="1"/>
    <col min="13314" max="13314" width="3.6640625" style="413" customWidth="1"/>
    <col min="13315" max="13315" width="13.1640625" style="413" customWidth="1"/>
    <col min="13316" max="13316" width="3.83203125" style="413" customWidth="1"/>
    <col min="13317" max="13317" width="15" style="413" customWidth="1"/>
    <col min="13318" max="13318" width="3.6640625" style="413" customWidth="1"/>
    <col min="13319" max="13320" width="13" style="413" customWidth="1"/>
    <col min="13321" max="13321" width="0" style="413" hidden="1" customWidth="1"/>
    <col min="13322" max="13323" width="9.33203125" style="413"/>
    <col min="13324" max="13324" width="15.83203125" style="413" customWidth="1"/>
    <col min="13325" max="13563" width="9.33203125" style="413"/>
    <col min="13564" max="13564" width="5" style="413" customWidth="1"/>
    <col min="13565" max="13565" width="9.33203125" style="413"/>
    <col min="13566" max="13566" width="21.6640625" style="413" customWidth="1"/>
    <col min="13567" max="13567" width="13.5" style="413" customWidth="1"/>
    <col min="13568" max="13568" width="10.5" style="413" customWidth="1"/>
    <col min="13569" max="13569" width="15.1640625" style="413" customWidth="1"/>
    <col min="13570" max="13570" width="3.6640625" style="413" customWidth="1"/>
    <col min="13571" max="13571" width="13.1640625" style="413" customWidth="1"/>
    <col min="13572" max="13572" width="3.83203125" style="413" customWidth="1"/>
    <col min="13573" max="13573" width="15" style="413" customWidth="1"/>
    <col min="13574" max="13574" width="3.6640625" style="413" customWidth="1"/>
    <col min="13575" max="13576" width="13" style="413" customWidth="1"/>
    <col min="13577" max="13577" width="0" style="413" hidden="1" customWidth="1"/>
    <col min="13578" max="13579" width="9.33203125" style="413"/>
    <col min="13580" max="13580" width="15.83203125" style="413" customWidth="1"/>
    <col min="13581" max="13819" width="9.33203125" style="413"/>
    <col min="13820" max="13820" width="5" style="413" customWidth="1"/>
    <col min="13821" max="13821" width="9.33203125" style="413"/>
    <col min="13822" max="13822" width="21.6640625" style="413" customWidth="1"/>
    <col min="13823" max="13823" width="13.5" style="413" customWidth="1"/>
    <col min="13824" max="13824" width="10.5" style="413" customWidth="1"/>
    <col min="13825" max="13825" width="15.1640625" style="413" customWidth="1"/>
    <col min="13826" max="13826" width="3.6640625" style="413" customWidth="1"/>
    <col min="13827" max="13827" width="13.1640625" style="413" customWidth="1"/>
    <col min="13828" max="13828" width="3.83203125" style="413" customWidth="1"/>
    <col min="13829" max="13829" width="15" style="413" customWidth="1"/>
    <col min="13830" max="13830" width="3.6640625" style="413" customWidth="1"/>
    <col min="13831" max="13832" width="13" style="413" customWidth="1"/>
    <col min="13833" max="13833" width="0" style="413" hidden="1" customWidth="1"/>
    <col min="13834" max="13835" width="9.33203125" style="413"/>
    <col min="13836" max="13836" width="15.83203125" style="413" customWidth="1"/>
    <col min="13837" max="14075" width="9.33203125" style="413"/>
    <col min="14076" max="14076" width="5" style="413" customWidth="1"/>
    <col min="14077" max="14077" width="9.33203125" style="413"/>
    <col min="14078" max="14078" width="21.6640625" style="413" customWidth="1"/>
    <col min="14079" max="14079" width="13.5" style="413" customWidth="1"/>
    <col min="14080" max="14080" width="10.5" style="413" customWidth="1"/>
    <col min="14081" max="14081" width="15.1640625" style="413" customWidth="1"/>
    <col min="14082" max="14082" width="3.6640625" style="413" customWidth="1"/>
    <col min="14083" max="14083" width="13.1640625" style="413" customWidth="1"/>
    <col min="14084" max="14084" width="3.83203125" style="413" customWidth="1"/>
    <col min="14085" max="14085" width="15" style="413" customWidth="1"/>
    <col min="14086" max="14086" width="3.6640625" style="413" customWidth="1"/>
    <col min="14087" max="14088" width="13" style="413" customWidth="1"/>
    <col min="14089" max="14089" width="0" style="413" hidden="1" customWidth="1"/>
    <col min="14090" max="14091" width="9.33203125" style="413"/>
    <col min="14092" max="14092" width="15.83203125" style="413" customWidth="1"/>
    <col min="14093" max="14331" width="9.33203125" style="413"/>
    <col min="14332" max="14332" width="5" style="413" customWidth="1"/>
    <col min="14333" max="14333" width="9.33203125" style="413"/>
    <col min="14334" max="14334" width="21.6640625" style="413" customWidth="1"/>
    <col min="14335" max="14335" width="13.5" style="413" customWidth="1"/>
    <col min="14336" max="14336" width="10.5" style="413" customWidth="1"/>
    <col min="14337" max="14337" width="15.1640625" style="413" customWidth="1"/>
    <col min="14338" max="14338" width="3.6640625" style="413" customWidth="1"/>
    <col min="14339" max="14339" width="13.1640625" style="413" customWidth="1"/>
    <col min="14340" max="14340" width="3.83203125" style="413" customWidth="1"/>
    <col min="14341" max="14341" width="15" style="413" customWidth="1"/>
    <col min="14342" max="14342" width="3.6640625" style="413" customWidth="1"/>
    <col min="14343" max="14344" width="13" style="413" customWidth="1"/>
    <col min="14345" max="14345" width="0" style="413" hidden="1" customWidth="1"/>
    <col min="14346" max="14347" width="9.33203125" style="413"/>
    <col min="14348" max="14348" width="15.83203125" style="413" customWidth="1"/>
    <col min="14349" max="14587" width="9.33203125" style="413"/>
    <col min="14588" max="14588" width="5" style="413" customWidth="1"/>
    <col min="14589" max="14589" width="9.33203125" style="413"/>
    <col min="14590" max="14590" width="21.6640625" style="413" customWidth="1"/>
    <col min="14591" max="14591" width="13.5" style="413" customWidth="1"/>
    <col min="14592" max="14592" width="10.5" style="413" customWidth="1"/>
    <col min="14593" max="14593" width="15.1640625" style="413" customWidth="1"/>
    <col min="14594" max="14594" width="3.6640625" style="413" customWidth="1"/>
    <col min="14595" max="14595" width="13.1640625" style="413" customWidth="1"/>
    <col min="14596" max="14596" width="3.83203125" style="413" customWidth="1"/>
    <col min="14597" max="14597" width="15" style="413" customWidth="1"/>
    <col min="14598" max="14598" width="3.6640625" style="413" customWidth="1"/>
    <col min="14599" max="14600" width="13" style="413" customWidth="1"/>
    <col min="14601" max="14601" width="0" style="413" hidden="1" customWidth="1"/>
    <col min="14602" max="14603" width="9.33203125" style="413"/>
    <col min="14604" max="14604" width="15.83203125" style="413" customWidth="1"/>
    <col min="14605" max="14843" width="9.33203125" style="413"/>
    <col min="14844" max="14844" width="5" style="413" customWidth="1"/>
    <col min="14845" max="14845" width="9.33203125" style="413"/>
    <col min="14846" max="14846" width="21.6640625" style="413" customWidth="1"/>
    <col min="14847" max="14847" width="13.5" style="413" customWidth="1"/>
    <col min="14848" max="14848" width="10.5" style="413" customWidth="1"/>
    <col min="14849" max="14849" width="15.1640625" style="413" customWidth="1"/>
    <col min="14850" max="14850" width="3.6640625" style="413" customWidth="1"/>
    <col min="14851" max="14851" width="13.1640625" style="413" customWidth="1"/>
    <col min="14852" max="14852" width="3.83203125" style="413" customWidth="1"/>
    <col min="14853" max="14853" width="15" style="413" customWidth="1"/>
    <col min="14854" max="14854" width="3.6640625" style="413" customWidth="1"/>
    <col min="14855" max="14856" width="13" style="413" customWidth="1"/>
    <col min="14857" max="14857" width="0" style="413" hidden="1" customWidth="1"/>
    <col min="14858" max="14859" width="9.33203125" style="413"/>
    <col min="14860" max="14860" width="15.83203125" style="413" customWidth="1"/>
    <col min="14861" max="15099" width="9.33203125" style="413"/>
    <col min="15100" max="15100" width="5" style="413" customWidth="1"/>
    <col min="15101" max="15101" width="9.33203125" style="413"/>
    <col min="15102" max="15102" width="21.6640625" style="413" customWidth="1"/>
    <col min="15103" max="15103" width="13.5" style="413" customWidth="1"/>
    <col min="15104" max="15104" width="10.5" style="413" customWidth="1"/>
    <col min="15105" max="15105" width="15.1640625" style="413" customWidth="1"/>
    <col min="15106" max="15106" width="3.6640625" style="413" customWidth="1"/>
    <col min="15107" max="15107" width="13.1640625" style="413" customWidth="1"/>
    <col min="15108" max="15108" width="3.83203125" style="413" customWidth="1"/>
    <col min="15109" max="15109" width="15" style="413" customWidth="1"/>
    <col min="15110" max="15110" width="3.6640625" style="413" customWidth="1"/>
    <col min="15111" max="15112" width="13" style="413" customWidth="1"/>
    <col min="15113" max="15113" width="0" style="413" hidden="1" customWidth="1"/>
    <col min="15114" max="15115" width="9.33203125" style="413"/>
    <col min="15116" max="15116" width="15.83203125" style="413" customWidth="1"/>
    <col min="15117" max="15355" width="9.33203125" style="413"/>
    <col min="15356" max="15356" width="5" style="413" customWidth="1"/>
    <col min="15357" max="15357" width="9.33203125" style="413"/>
    <col min="15358" max="15358" width="21.6640625" style="413" customWidth="1"/>
    <col min="15359" max="15359" width="13.5" style="413" customWidth="1"/>
    <col min="15360" max="15360" width="10.5" style="413" customWidth="1"/>
    <col min="15361" max="15361" width="15.1640625" style="413" customWidth="1"/>
    <col min="15362" max="15362" width="3.6640625" style="413" customWidth="1"/>
    <col min="15363" max="15363" width="13.1640625" style="413" customWidth="1"/>
    <col min="15364" max="15364" width="3.83203125" style="413" customWidth="1"/>
    <col min="15365" max="15365" width="15" style="413" customWidth="1"/>
    <col min="15366" max="15366" width="3.6640625" style="413" customWidth="1"/>
    <col min="15367" max="15368" width="13" style="413" customWidth="1"/>
    <col min="15369" max="15369" width="0" style="413" hidden="1" customWidth="1"/>
    <col min="15370" max="15371" width="9.33203125" style="413"/>
    <col min="15372" max="15372" width="15.83203125" style="413" customWidth="1"/>
    <col min="15373" max="15611" width="9.33203125" style="413"/>
    <col min="15612" max="15612" width="5" style="413" customWidth="1"/>
    <col min="15613" max="15613" width="9.33203125" style="413"/>
    <col min="15614" max="15614" width="21.6640625" style="413" customWidth="1"/>
    <col min="15615" max="15615" width="13.5" style="413" customWidth="1"/>
    <col min="15616" max="15616" width="10.5" style="413" customWidth="1"/>
    <col min="15617" max="15617" width="15.1640625" style="413" customWidth="1"/>
    <col min="15618" max="15618" width="3.6640625" style="413" customWidth="1"/>
    <col min="15619" max="15619" width="13.1640625" style="413" customWidth="1"/>
    <col min="15620" max="15620" width="3.83203125" style="413" customWidth="1"/>
    <col min="15621" max="15621" width="15" style="413" customWidth="1"/>
    <col min="15622" max="15622" width="3.6640625" style="413" customWidth="1"/>
    <col min="15623" max="15624" width="13" style="413" customWidth="1"/>
    <col min="15625" max="15625" width="0" style="413" hidden="1" customWidth="1"/>
    <col min="15626" max="15627" width="9.33203125" style="413"/>
    <col min="15628" max="15628" width="15.83203125" style="413" customWidth="1"/>
    <col min="15629" max="15867" width="9.33203125" style="413"/>
    <col min="15868" max="15868" width="5" style="413" customWidth="1"/>
    <col min="15869" max="15869" width="9.33203125" style="413"/>
    <col min="15870" max="15870" width="21.6640625" style="413" customWidth="1"/>
    <col min="15871" max="15871" width="13.5" style="413" customWidth="1"/>
    <col min="15872" max="15872" width="10.5" style="413" customWidth="1"/>
    <col min="15873" max="15873" width="15.1640625" style="413" customWidth="1"/>
    <col min="15874" max="15874" width="3.6640625" style="413" customWidth="1"/>
    <col min="15875" max="15875" width="13.1640625" style="413" customWidth="1"/>
    <col min="15876" max="15876" width="3.83203125" style="413" customWidth="1"/>
    <col min="15877" max="15877" width="15" style="413" customWidth="1"/>
    <col min="15878" max="15878" width="3.6640625" style="413" customWidth="1"/>
    <col min="15879" max="15880" width="13" style="413" customWidth="1"/>
    <col min="15881" max="15881" width="0" style="413" hidden="1" customWidth="1"/>
    <col min="15882" max="15883" width="9.33203125" style="413"/>
    <col min="15884" max="15884" width="15.83203125" style="413" customWidth="1"/>
    <col min="15885" max="16123" width="9.33203125" style="413"/>
    <col min="16124" max="16124" width="5" style="413" customWidth="1"/>
    <col min="16125" max="16125" width="9.33203125" style="413"/>
    <col min="16126" max="16126" width="21.6640625" style="413" customWidth="1"/>
    <col min="16127" max="16127" width="13.5" style="413" customWidth="1"/>
    <col min="16128" max="16128" width="10.5" style="413" customWidth="1"/>
    <col min="16129" max="16129" width="15.1640625" style="413" customWidth="1"/>
    <col min="16130" max="16130" width="3.6640625" style="413" customWidth="1"/>
    <col min="16131" max="16131" width="13.1640625" style="413" customWidth="1"/>
    <col min="16132" max="16132" width="3.83203125" style="413" customWidth="1"/>
    <col min="16133" max="16133" width="15" style="413" customWidth="1"/>
    <col min="16134" max="16134" width="3.6640625" style="413" customWidth="1"/>
    <col min="16135" max="16136" width="13" style="413" customWidth="1"/>
    <col min="16137" max="16137" width="0" style="413" hidden="1" customWidth="1"/>
    <col min="16138" max="16139" width="9.33203125" style="413"/>
    <col min="16140" max="16140" width="15.83203125" style="413" customWidth="1"/>
    <col min="16141" max="16384" width="9.33203125" style="413"/>
  </cols>
  <sheetData>
    <row r="2" spans="1:18">
      <c r="A2" s="413"/>
      <c r="B2" s="414"/>
      <c r="C2" s="591" t="s">
        <v>53</v>
      </c>
      <c r="D2" s="591"/>
      <c r="E2" s="591"/>
      <c r="F2" s="591"/>
      <c r="G2" s="591"/>
      <c r="H2" s="591"/>
      <c r="I2" s="591"/>
      <c r="J2" s="591"/>
      <c r="K2" s="591"/>
      <c r="L2" s="533" t="str">
        <f>+'CPA Proposed Rate 596'!G1</f>
        <v>CNGC Advice W20-09-02</v>
      </c>
    </row>
    <row r="3" spans="1:18">
      <c r="A3" s="413"/>
      <c r="B3" s="414"/>
      <c r="C3" s="592" t="s">
        <v>229</v>
      </c>
      <c r="D3" s="592"/>
      <c r="E3" s="592"/>
      <c r="F3" s="592"/>
      <c r="G3" s="592"/>
      <c r="H3" s="592"/>
      <c r="I3" s="592"/>
      <c r="J3" s="592"/>
      <c r="K3" s="592"/>
      <c r="L3" s="534" t="s">
        <v>228</v>
      </c>
    </row>
    <row r="4" spans="1:18">
      <c r="A4" s="413"/>
      <c r="B4" s="414"/>
      <c r="C4" s="592" t="s">
        <v>261</v>
      </c>
      <c r="D4" s="592"/>
      <c r="E4" s="592"/>
      <c r="F4" s="592"/>
      <c r="G4" s="592"/>
      <c r="H4" s="592"/>
      <c r="I4" s="592"/>
      <c r="J4" s="592"/>
      <c r="K4" s="592"/>
      <c r="L4" s="534" t="s">
        <v>183</v>
      </c>
      <c r="M4" s="415" t="s">
        <v>56</v>
      </c>
    </row>
    <row r="5" spans="1:18">
      <c r="A5" s="413"/>
      <c r="B5" s="414"/>
      <c r="C5" s="591" t="s">
        <v>55</v>
      </c>
      <c r="D5" s="591"/>
      <c r="E5" s="591"/>
      <c r="F5" s="591"/>
      <c r="G5" s="591"/>
      <c r="H5" s="591"/>
      <c r="I5" s="591"/>
      <c r="J5" s="591"/>
      <c r="K5" s="591"/>
      <c r="L5" s="414" t="s">
        <v>156</v>
      </c>
      <c r="M5" s="415" t="s">
        <v>56</v>
      </c>
    </row>
    <row r="7" spans="1:18">
      <c r="A7" s="416"/>
      <c r="B7" s="417"/>
      <c r="C7" s="418"/>
      <c r="D7" s="418"/>
      <c r="E7" s="419"/>
      <c r="F7" s="420"/>
      <c r="G7" s="421"/>
      <c r="H7" s="420"/>
      <c r="K7" s="555" t="s">
        <v>57</v>
      </c>
      <c r="L7" s="418"/>
      <c r="M7" s="418"/>
      <c r="N7" s="422"/>
    </row>
    <row r="8" spans="1:18">
      <c r="A8" s="423" t="s">
        <v>7</v>
      </c>
      <c r="B8" s="424"/>
      <c r="C8" s="425"/>
      <c r="D8" s="426" t="s">
        <v>52</v>
      </c>
      <c r="E8" s="427" t="s">
        <v>58</v>
      </c>
      <c r="F8" s="423" t="s">
        <v>240</v>
      </c>
      <c r="G8" s="421"/>
      <c r="H8" s="423" t="s">
        <v>60</v>
      </c>
      <c r="K8" s="556" t="s">
        <v>180</v>
      </c>
      <c r="L8" s="428" t="s">
        <v>61</v>
      </c>
      <c r="M8" s="426" t="s">
        <v>62</v>
      </c>
      <c r="N8" s="429" t="s">
        <v>222</v>
      </c>
    </row>
    <row r="9" spans="1:18">
      <c r="A9" s="423" t="s">
        <v>10</v>
      </c>
      <c r="B9" s="430" t="s">
        <v>0</v>
      </c>
      <c r="C9" s="428"/>
      <c r="D9" s="426" t="s">
        <v>63</v>
      </c>
      <c r="E9" s="427" t="s">
        <v>64</v>
      </c>
      <c r="F9" s="423" t="s">
        <v>65</v>
      </c>
      <c r="G9" s="421"/>
      <c r="H9" s="423" t="s">
        <v>66</v>
      </c>
      <c r="K9" s="556" t="s">
        <v>67</v>
      </c>
      <c r="L9" s="428" t="s">
        <v>67</v>
      </c>
      <c r="M9" s="428" t="s">
        <v>67</v>
      </c>
      <c r="N9" s="429" t="s">
        <v>67</v>
      </c>
    </row>
    <row r="10" spans="1:18" s="434" customFormat="1">
      <c r="A10" s="429"/>
      <c r="B10" s="593" t="s">
        <v>15</v>
      </c>
      <c r="C10" s="594"/>
      <c r="D10" s="426" t="s">
        <v>16</v>
      </c>
      <c r="E10" s="427" t="s">
        <v>17</v>
      </c>
      <c r="F10" s="431" t="s">
        <v>18</v>
      </c>
      <c r="G10" s="432"/>
      <c r="H10" s="431" t="s">
        <v>68</v>
      </c>
      <c r="I10" s="491"/>
      <c r="J10" s="491"/>
      <c r="K10" s="557" t="s">
        <v>107</v>
      </c>
      <c r="L10" s="426" t="s">
        <v>69</v>
      </c>
      <c r="M10" s="426" t="s">
        <v>71</v>
      </c>
      <c r="N10" s="433" t="s">
        <v>70</v>
      </c>
    </row>
    <row r="11" spans="1:18">
      <c r="A11" s="435"/>
      <c r="B11" s="436" t="s">
        <v>72</v>
      </c>
      <c r="C11" s="437"/>
      <c r="D11" s="437"/>
      <c r="E11" s="437"/>
      <c r="F11" s="437"/>
      <c r="H11" s="438"/>
      <c r="K11" s="439"/>
      <c r="L11" s="437"/>
      <c r="M11" s="440"/>
    </row>
    <row r="12" spans="1:18">
      <c r="A12" s="423">
        <v>1</v>
      </c>
      <c r="B12" s="441"/>
      <c r="C12" s="421"/>
      <c r="D12" s="426"/>
      <c r="E12" s="442"/>
      <c r="F12" s="443"/>
      <c r="G12" s="421"/>
      <c r="H12" s="444"/>
      <c r="K12" s="558"/>
      <c r="L12" s="445"/>
      <c r="M12" s="446"/>
      <c r="N12" s="447"/>
      <c r="R12" s="448"/>
    </row>
    <row r="13" spans="1:18">
      <c r="A13" s="423">
        <v>2</v>
      </c>
      <c r="B13" s="441" t="s">
        <v>137</v>
      </c>
      <c r="C13" s="449"/>
      <c r="D13" s="426" t="s">
        <v>76</v>
      </c>
      <c r="E13" s="442">
        <f>+'Bills-Therms-Revs'!F58</f>
        <v>193657</v>
      </c>
      <c r="F13" s="443">
        <f>+'Test Period Volumes'!C35</f>
        <v>127118966.08439983</v>
      </c>
      <c r="G13" s="450"/>
      <c r="H13" s="443">
        <f>+'Bills-Therms-Revs'!I12+'Bills-Therms-Revs'!I15+'Bills-Therms-Revs'!I16</f>
        <v>129784519.48999999</v>
      </c>
      <c r="J13" s="466"/>
      <c r="K13" s="479">
        <f>+'CPA Proposed Rate 596'!F12</f>
        <v>-1.9999999999999185E-5</v>
      </c>
      <c r="L13" s="445">
        <f>F13*K13</f>
        <v>-2542.379321687893</v>
      </c>
      <c r="M13" s="446" t="e">
        <f>L13/#REF!</f>
        <v>#REF!</v>
      </c>
      <c r="N13" s="578">
        <f t="shared" ref="N13:N17" si="0">+L13/H13</f>
        <v>-1.9589233998618654E-5</v>
      </c>
      <c r="R13" s="448"/>
    </row>
    <row r="14" spans="1:18">
      <c r="A14" s="423">
        <v>3</v>
      </c>
      <c r="B14" s="441" t="s">
        <v>138</v>
      </c>
      <c r="C14" s="421"/>
      <c r="D14" s="426" t="s">
        <v>82</v>
      </c>
      <c r="E14" s="442">
        <f>+'Bills-Therms-Revs'!F59</f>
        <v>26658</v>
      </c>
      <c r="F14" s="443">
        <f>+'Test Period Volumes'!D35</f>
        <v>88299944.040802553</v>
      </c>
      <c r="G14" s="421"/>
      <c r="H14" s="443">
        <f>+'Bills-Therms-Revs'!I19+'Bills-Therms-Revs'!I22+'Bills-Therms-Revs'!I23</f>
        <v>79262367.890000001</v>
      </c>
      <c r="K14" s="479">
        <f>+'CPA Proposed Rate 596'!F13</f>
        <v>-1.9999999999999185E-5</v>
      </c>
      <c r="L14" s="445">
        <f>ROUND(F14*K14,0)</f>
        <v>-1766</v>
      </c>
      <c r="M14" s="446" t="e">
        <f>ROUND(L14/#REF!,4)</f>
        <v>#REF!</v>
      </c>
      <c r="N14" s="578">
        <f t="shared" si="0"/>
        <v>-2.2280434549354464E-5</v>
      </c>
      <c r="R14" s="448"/>
    </row>
    <row r="15" spans="1:18">
      <c r="A15" s="423">
        <v>4</v>
      </c>
      <c r="B15" s="441" t="s">
        <v>139</v>
      </c>
      <c r="C15" s="449"/>
      <c r="D15" s="426" t="s">
        <v>86</v>
      </c>
      <c r="E15" s="442">
        <f>+'Bills-Therms-Revs'!F63</f>
        <v>480</v>
      </c>
      <c r="F15" s="443">
        <f>+'Test Period Volumes'!E35</f>
        <v>14482049.656409066</v>
      </c>
      <c r="G15" s="421"/>
      <c r="H15" s="443">
        <f>+'Bills-Therms-Revs'!I29</f>
        <v>9601453</v>
      </c>
      <c r="K15" s="479">
        <f>+'CPA Proposed Rate 596'!F15</f>
        <v>-1.9999999999999185E-5</v>
      </c>
      <c r="L15" s="445">
        <f t="shared" ref="L15:L17" si="1">F15*K15</f>
        <v>-289.6409931281695</v>
      </c>
      <c r="M15" s="446" t="e">
        <f>L15/#REF!</f>
        <v>#REF!</v>
      </c>
      <c r="N15" s="578">
        <f t="shared" si="0"/>
        <v>-3.0166370978243553E-5</v>
      </c>
      <c r="R15" s="448"/>
    </row>
    <row r="16" spans="1:18">
      <c r="A16" s="423">
        <v>5</v>
      </c>
      <c r="B16" s="441" t="s">
        <v>83</v>
      </c>
      <c r="C16" s="421"/>
      <c r="D16" s="426" t="s">
        <v>84</v>
      </c>
      <c r="E16" s="442">
        <f>+'Bills-Therms-Revs'!F62</f>
        <v>98</v>
      </c>
      <c r="F16" s="443">
        <f>+'Test Period Volumes'!F35</f>
        <v>27088723.120386221</v>
      </c>
      <c r="G16" s="450"/>
      <c r="H16" s="443">
        <f>+'Bills-Therms-Revs'!I30+'Bills-Therms-Revs'!I20+'Bills-Therms-Revs'!I31+'Bills-Therms-Revs'!I24+'Bills-Therms-Revs'!I25</f>
        <v>18277286.380000003</v>
      </c>
      <c r="I16" s="466"/>
      <c r="J16" s="466"/>
      <c r="K16" s="479">
        <f>+'CPA Proposed Rate 596'!F14</f>
        <v>-1.9999999999999185E-5</v>
      </c>
      <c r="L16" s="445">
        <f t="shared" si="1"/>
        <v>-541.77446240770234</v>
      </c>
      <c r="M16" s="446" t="e">
        <f>L16/#REF!</f>
        <v>#REF!</v>
      </c>
      <c r="N16" s="578">
        <f t="shared" si="0"/>
        <v>-2.9641952921443596E-5</v>
      </c>
    </row>
    <row r="17" spans="1:18">
      <c r="A17" s="423">
        <v>8</v>
      </c>
      <c r="B17" s="441" t="s">
        <v>140</v>
      </c>
      <c r="C17" s="421"/>
      <c r="D17" s="426" t="s">
        <v>87</v>
      </c>
      <c r="E17" s="442">
        <f>+'Bills-Therms-Revs'!F64</f>
        <v>8</v>
      </c>
      <c r="F17" s="443">
        <f>+'Test Period Volumes'!G35</f>
        <v>2291417.0980023355</v>
      </c>
      <c r="G17" s="450"/>
      <c r="H17" s="481">
        <f>+'Bills-Therms-Revs'!I39</f>
        <v>1421635</v>
      </c>
      <c r="J17" s="466"/>
      <c r="K17" s="559">
        <f>+'CPA Proposed Rate 596'!F16</f>
        <v>-1.9999999999999185E-5</v>
      </c>
      <c r="L17" s="445">
        <f t="shared" si="1"/>
        <v>-45.828341960044845</v>
      </c>
      <c r="M17" s="446" t="e">
        <f>L17/#REF!</f>
        <v>#REF!</v>
      </c>
      <c r="N17" s="578">
        <f t="shared" si="0"/>
        <v>-3.2236363032736848E-5</v>
      </c>
      <c r="R17" s="448"/>
    </row>
    <row r="18" spans="1:18" s="461" customFormat="1">
      <c r="A18" s="431">
        <v>10</v>
      </c>
      <c r="B18" s="436" t="s">
        <v>90</v>
      </c>
      <c r="C18" s="452"/>
      <c r="D18" s="453"/>
      <c r="E18" s="454">
        <f>SUM(E12:E17)</f>
        <v>220901</v>
      </c>
      <c r="F18" s="455">
        <f>SUM(F12:F17)</f>
        <v>259281100</v>
      </c>
      <c r="G18" s="456"/>
      <c r="H18" s="455">
        <f>SUM(H12:H17)</f>
        <v>238347261.75999999</v>
      </c>
      <c r="I18" s="554"/>
      <c r="J18" s="554"/>
      <c r="K18" s="457"/>
      <c r="L18" s="458">
        <f>SUM(L12:L17)</f>
        <v>-5185.6231191838096</v>
      </c>
      <c r="M18" s="459" t="e">
        <f>L18/#REF!</f>
        <v>#REF!</v>
      </c>
      <c r="N18" s="460"/>
    </row>
    <row r="19" spans="1:18">
      <c r="A19" s="462"/>
      <c r="B19" s="463" t="s">
        <v>91</v>
      </c>
      <c r="C19" s="464"/>
      <c r="D19" s="464"/>
      <c r="E19" s="465"/>
      <c r="F19" s="465"/>
      <c r="G19" s="466"/>
      <c r="H19" s="467"/>
      <c r="J19" s="466"/>
      <c r="K19" s="468"/>
      <c r="L19" s="469"/>
      <c r="M19" s="470"/>
      <c r="N19" s="471"/>
    </row>
    <row r="20" spans="1:18">
      <c r="A20" s="472">
        <v>11</v>
      </c>
      <c r="B20" s="473"/>
      <c r="C20" s="417"/>
      <c r="D20" s="420"/>
      <c r="E20" s="474"/>
      <c r="F20" s="444">
        <f>'[13]Bills-Therms-Revs'!G46</f>
        <v>0</v>
      </c>
      <c r="H20" s="474">
        <f>'[13]Bills-Therms-Revs'!I46</f>
        <v>0</v>
      </c>
      <c r="K20" s="475"/>
      <c r="L20" s="476"/>
      <c r="M20" s="477"/>
      <c r="N20" s="447"/>
    </row>
    <row r="21" spans="1:18">
      <c r="A21" s="472">
        <v>12</v>
      </c>
      <c r="B21" s="478" t="s">
        <v>203</v>
      </c>
      <c r="C21" s="424"/>
      <c r="D21" s="423" t="s">
        <v>92</v>
      </c>
      <c r="E21" s="443">
        <f>+'Bills-Therms-Revs'!F67</f>
        <v>188</v>
      </c>
      <c r="F21" s="443">
        <f>+'Bills-Therms-Revs'!G44</f>
        <v>629818145</v>
      </c>
      <c r="G21" s="466"/>
      <c r="H21" s="443">
        <f>+'Bills-Therms-Revs'!I44</f>
        <v>20168203</v>
      </c>
      <c r="I21" s="441"/>
      <c r="J21" s="466"/>
      <c r="K21" s="479"/>
      <c r="L21" s="480"/>
      <c r="M21" s="477"/>
      <c r="N21" s="451"/>
    </row>
    <row r="22" spans="1:18">
      <c r="A22" s="472">
        <v>13</v>
      </c>
      <c r="B22" s="478" t="s">
        <v>204</v>
      </c>
      <c r="C22" s="424"/>
      <c r="D22" s="431" t="s">
        <v>199</v>
      </c>
      <c r="E22" s="481">
        <f>+'Bills-Therms-Revs'!F68</f>
        <v>7</v>
      </c>
      <c r="F22" s="481">
        <f>+'Bills-Therms-Revs'!G45</f>
        <v>216766399</v>
      </c>
      <c r="H22" s="443">
        <f>+'Bills-Therms-Revs'!I45</f>
        <v>4441400</v>
      </c>
      <c r="K22" s="479"/>
      <c r="L22" s="480"/>
      <c r="M22" s="470"/>
      <c r="N22" s="482"/>
    </row>
    <row r="23" spans="1:18">
      <c r="A23" s="483">
        <v>14</v>
      </c>
      <c r="B23" s="484" t="s">
        <v>205</v>
      </c>
      <c r="C23" s="452"/>
      <c r="D23" s="453"/>
      <c r="E23" s="485">
        <f>SUM(E20:E22)</f>
        <v>195</v>
      </c>
      <c r="F23" s="485">
        <f>SUM(F20:F22)</f>
        <v>846584544</v>
      </c>
      <c r="H23" s="485">
        <f>SUM(H20:H22)</f>
        <v>24609603</v>
      </c>
      <c r="I23" s="486"/>
      <c r="J23" s="486"/>
      <c r="K23" s="487"/>
      <c r="L23" s="488"/>
      <c r="M23" s="489"/>
      <c r="N23" s="490"/>
    </row>
    <row r="24" spans="1:18">
      <c r="A24" s="491"/>
      <c r="B24" s="492"/>
      <c r="C24" s="486"/>
      <c r="D24" s="486"/>
      <c r="E24" s="493"/>
      <c r="F24" s="494"/>
      <c r="G24" s="486"/>
      <c r="H24" s="493"/>
      <c r="I24" s="486"/>
      <c r="J24" s="486"/>
      <c r="K24" s="495"/>
      <c r="L24" s="496"/>
      <c r="M24" s="497"/>
      <c r="N24" s="486"/>
    </row>
    <row r="25" spans="1:18">
      <c r="A25" s="435">
        <v>15</v>
      </c>
      <c r="B25" s="484" t="s">
        <v>206</v>
      </c>
      <c r="C25" s="452"/>
      <c r="D25" s="452"/>
      <c r="E25" s="498">
        <f>+E23+E18</f>
        <v>221096</v>
      </c>
      <c r="F25" s="498">
        <f>+F23+F18</f>
        <v>1105865644</v>
      </c>
      <c r="G25" s="494"/>
      <c r="H25" s="498">
        <f>+H23+H18</f>
        <v>262956864.75999999</v>
      </c>
      <c r="I25" s="494"/>
      <c r="J25" s="486"/>
      <c r="K25" s="487"/>
      <c r="L25" s="488">
        <f>+L23+L18</f>
        <v>-5185.6231191838096</v>
      </c>
      <c r="M25" s="461"/>
      <c r="N25" s="577">
        <f>+L25/H25</f>
        <v>-1.9720432565686064E-5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orientation="landscape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tabSelected="1" zoomScaleNormal="100" workbookViewId="0">
      <selection activeCell="A6" sqref="A6:G6"/>
    </sheetView>
  </sheetViews>
  <sheetFormatPr defaultColWidth="12" defaultRowHeight="15"/>
  <cols>
    <col min="1" max="1" width="5.33203125" style="62" customWidth="1"/>
    <col min="2" max="2" width="28.6640625" style="47" bestFit="1" customWidth="1"/>
    <col min="3" max="3" width="20.5" style="47" customWidth="1"/>
    <col min="4" max="4" width="1.83203125" style="47" customWidth="1"/>
    <col min="5" max="5" width="20" style="47" customWidth="1"/>
    <col min="6" max="6" width="1.83203125" style="47" customWidth="1"/>
    <col min="7" max="7" width="39.5" style="47" customWidth="1"/>
    <col min="8" max="8" width="12.6640625" style="47" customWidth="1"/>
    <col min="9" max="9" width="12.33203125" style="47" customWidth="1"/>
    <col min="10" max="10" width="5.83203125" style="47" customWidth="1"/>
    <col min="11" max="16384" width="12" style="47"/>
  </cols>
  <sheetData>
    <row r="1" spans="1:17" ht="15" customHeight="1">
      <c r="H1" s="533" t="str">
        <f>+'CPA Amount of Change'!L2</f>
        <v>CNGC Advice W20-09-02</v>
      </c>
    </row>
    <row r="2" spans="1:17" ht="15" customHeight="1">
      <c r="A2" s="47"/>
      <c r="B2" s="121"/>
      <c r="H2" s="534" t="s">
        <v>228</v>
      </c>
    </row>
    <row r="3" spans="1:17" ht="15" customHeight="1">
      <c r="A3" s="47"/>
      <c r="B3" s="121"/>
      <c r="C3" s="590" t="s">
        <v>53</v>
      </c>
      <c r="D3" s="590"/>
      <c r="E3" s="590"/>
      <c r="F3" s="590"/>
      <c r="G3" s="590"/>
      <c r="H3" s="534" t="s">
        <v>176</v>
      </c>
    </row>
    <row r="4" spans="1:17" ht="15" customHeight="1">
      <c r="A4" s="47"/>
      <c r="B4" s="121"/>
      <c r="C4" s="590" t="s">
        <v>236</v>
      </c>
      <c r="D4" s="590"/>
      <c r="E4" s="590"/>
      <c r="F4" s="590"/>
      <c r="G4" s="590"/>
      <c r="H4" s="121"/>
    </row>
    <row r="5" spans="1:17" ht="15" customHeight="1">
      <c r="A5" s="47"/>
      <c r="B5" s="121"/>
      <c r="C5" s="590" t="s">
        <v>250</v>
      </c>
      <c r="D5" s="590"/>
      <c r="E5" s="590"/>
      <c r="F5" s="590"/>
      <c r="G5" s="590"/>
      <c r="H5" s="121"/>
      <c r="I5" s="123"/>
    </row>
    <row r="6" spans="1:17" ht="15.75">
      <c r="C6" s="590" t="s">
        <v>55</v>
      </c>
      <c r="D6" s="590"/>
      <c r="E6" s="590"/>
      <c r="F6" s="590"/>
      <c r="G6" s="590"/>
    </row>
    <row r="8" spans="1:17" ht="15.75">
      <c r="A8" s="501"/>
      <c r="B8" s="500"/>
      <c r="C8" s="500"/>
      <c r="D8" s="500"/>
      <c r="E8" s="500"/>
      <c r="F8" s="500"/>
      <c r="G8" s="502" t="s">
        <v>57</v>
      </c>
      <c r="H8" s="500"/>
      <c r="I8" s="500"/>
      <c r="J8" s="500"/>
    </row>
    <row r="9" spans="1:17" ht="15.75">
      <c r="A9" s="502" t="s">
        <v>7</v>
      </c>
      <c r="B9" s="500"/>
      <c r="C9" s="500"/>
      <c r="D9" s="500"/>
      <c r="E9" s="503" t="s">
        <v>95</v>
      </c>
      <c r="F9" s="500"/>
      <c r="G9" s="502" t="s">
        <v>52</v>
      </c>
      <c r="H9" s="502" t="s">
        <v>61</v>
      </c>
      <c r="I9" s="502" t="s">
        <v>62</v>
      </c>
      <c r="J9" s="500"/>
    </row>
    <row r="10" spans="1:17" s="62" customFormat="1" ht="15.75">
      <c r="A10" s="502" t="s">
        <v>10</v>
      </c>
      <c r="B10" s="502" t="s">
        <v>0</v>
      </c>
      <c r="C10" s="502" t="s">
        <v>96</v>
      </c>
      <c r="D10" s="501"/>
      <c r="E10" s="576" t="s">
        <v>251</v>
      </c>
      <c r="F10" s="501"/>
      <c r="G10" s="502" t="s">
        <v>67</v>
      </c>
      <c r="H10" s="502" t="s">
        <v>67</v>
      </c>
      <c r="I10" s="502" t="s">
        <v>67</v>
      </c>
      <c r="J10" s="501"/>
    </row>
    <row r="11" spans="1:17" s="62" customFormat="1" ht="15.75">
      <c r="A11" s="504"/>
      <c r="B11" s="505" t="s">
        <v>15</v>
      </c>
      <c r="C11" s="505" t="s">
        <v>16</v>
      </c>
      <c r="D11" s="504"/>
      <c r="E11" s="505" t="s">
        <v>17</v>
      </c>
      <c r="F11" s="504"/>
      <c r="G11" s="505" t="s">
        <v>18</v>
      </c>
      <c r="H11" s="505" t="s">
        <v>19</v>
      </c>
      <c r="I11" s="505" t="s">
        <v>107</v>
      </c>
      <c r="J11" s="501"/>
    </row>
    <row r="12" spans="1:17" ht="8.25" customHeight="1">
      <c r="A12" s="501"/>
      <c r="B12" s="500"/>
      <c r="C12" s="500"/>
      <c r="D12" s="500"/>
      <c r="E12" s="500"/>
      <c r="F12" s="500"/>
      <c r="G12" s="500"/>
      <c r="H12" s="500"/>
      <c r="I12" s="500"/>
      <c r="J12" s="500"/>
    </row>
    <row r="13" spans="1:17" ht="15.75">
      <c r="A13" s="502">
        <v>1</v>
      </c>
      <c r="B13" s="506" t="s">
        <v>114</v>
      </c>
      <c r="C13" s="362">
        <f>+'CPA Amount of Change'!F13</f>
        <v>127118966.08439983</v>
      </c>
      <c r="D13" s="409"/>
      <c r="E13" s="362">
        <f>+'CPA Amount of Change'!H13</f>
        <v>129784519.48999999</v>
      </c>
      <c r="F13" s="500"/>
      <c r="G13" s="511">
        <f>+'CPA Amount of Change'!K13</f>
        <v>-1.9999999999999185E-5</v>
      </c>
      <c r="H13" s="508">
        <f>+G13*C13</f>
        <v>-2542.379321687893</v>
      </c>
      <c r="I13" s="509">
        <f t="shared" ref="I13:I19" si="0">+H13/E13</f>
        <v>-1.9589233998618654E-5</v>
      </c>
      <c r="J13" s="500"/>
      <c r="Q13" s="202"/>
    </row>
    <row r="14" spans="1:17" ht="15.75">
      <c r="A14" s="501"/>
      <c r="B14" s="500"/>
      <c r="C14" s="362"/>
      <c r="D14" s="409"/>
      <c r="E14" s="362"/>
      <c r="F14" s="500"/>
      <c r="G14" s="511"/>
      <c r="H14" s="508"/>
      <c r="I14" s="509"/>
      <c r="J14" s="500"/>
      <c r="Q14" s="202"/>
    </row>
    <row r="15" spans="1:17" ht="15.75">
      <c r="A15" s="502">
        <v>2</v>
      </c>
      <c r="B15" s="506" t="s">
        <v>115</v>
      </c>
      <c r="C15" s="362">
        <f>+'CPA Amount of Change'!F14</f>
        <v>88299944.040802553</v>
      </c>
      <c r="D15" s="409"/>
      <c r="E15" s="362">
        <f>+'CPA Amount of Change'!H14</f>
        <v>79262367.890000001</v>
      </c>
      <c r="F15" s="500"/>
      <c r="G15" s="511">
        <f>+'CPA Amount of Change'!K14</f>
        <v>-1.9999999999999185E-5</v>
      </c>
      <c r="H15" s="508">
        <f>+G15*C15</f>
        <v>-1765.9988808159792</v>
      </c>
      <c r="I15" s="509">
        <f t="shared" si="0"/>
        <v>-2.228042042936221E-5</v>
      </c>
      <c r="J15" s="500"/>
      <c r="Q15" s="202"/>
    </row>
    <row r="16" spans="1:17" ht="15.75">
      <c r="A16" s="501"/>
      <c r="B16" s="500"/>
      <c r="C16" s="362"/>
      <c r="D16" s="409"/>
      <c r="E16" s="362"/>
      <c r="F16" s="500"/>
      <c r="G16" s="511"/>
      <c r="H16" s="508"/>
      <c r="I16" s="509"/>
      <c r="J16" s="500"/>
      <c r="Q16" s="202"/>
    </row>
    <row r="17" spans="1:17" ht="15.75">
      <c r="A17" s="502">
        <v>3</v>
      </c>
      <c r="B17" s="506" t="s">
        <v>116</v>
      </c>
      <c r="C17" s="362">
        <f>+'CPA Amount of Change'!F15</f>
        <v>14482049.656409066</v>
      </c>
      <c r="D17" s="409"/>
      <c r="E17" s="362">
        <f>+'CPA Amount of Change'!H15</f>
        <v>9601453</v>
      </c>
      <c r="F17" s="500"/>
      <c r="G17" s="511">
        <f>+'CPA Amount of Change'!K15</f>
        <v>-1.9999999999999185E-5</v>
      </c>
      <c r="H17" s="508">
        <f>+G17*C17</f>
        <v>-289.6409931281695</v>
      </c>
      <c r="I17" s="509">
        <f t="shared" si="0"/>
        <v>-3.0166370978243553E-5</v>
      </c>
      <c r="J17" s="500"/>
      <c r="Q17" s="202"/>
    </row>
    <row r="18" spans="1:17" ht="15.75">
      <c r="A18" s="501"/>
      <c r="B18" s="500"/>
      <c r="C18" s="362"/>
      <c r="D18" s="409"/>
      <c r="E18" s="362"/>
      <c r="F18" s="500"/>
      <c r="G18" s="511"/>
      <c r="H18" s="508"/>
      <c r="I18" s="509"/>
      <c r="J18" s="500"/>
      <c r="Q18" s="202"/>
    </row>
    <row r="19" spans="1:17" ht="15.75">
      <c r="A19" s="501">
        <v>4</v>
      </c>
      <c r="B19" s="500" t="s">
        <v>117</v>
      </c>
      <c r="C19" s="362">
        <f>+'CPA Amount of Change'!F16</f>
        <v>27088723.120386221</v>
      </c>
      <c r="D19" s="409"/>
      <c r="E19" s="362">
        <f>+'CPA Amount of Change'!H16</f>
        <v>18277286.380000003</v>
      </c>
      <c r="F19" s="500"/>
      <c r="G19" s="511">
        <f>+'CPA Amount of Change'!K16</f>
        <v>-1.9999999999999185E-5</v>
      </c>
      <c r="H19" s="508">
        <f>+G19*C19</f>
        <v>-541.77446240770234</v>
      </c>
      <c r="I19" s="509">
        <f t="shared" si="0"/>
        <v>-2.9641952921443596E-5</v>
      </c>
      <c r="J19" s="500"/>
      <c r="Q19" s="202"/>
    </row>
    <row r="20" spans="1:17" ht="15.75">
      <c r="A20" s="501"/>
      <c r="B20" s="500"/>
      <c r="C20" s="362"/>
      <c r="D20" s="409"/>
      <c r="E20" s="362"/>
      <c r="F20" s="500"/>
      <c r="G20" s="511"/>
      <c r="H20" s="508"/>
      <c r="I20" s="509"/>
      <c r="J20" s="500"/>
      <c r="Q20" s="202"/>
    </row>
    <row r="21" spans="1:17" ht="15.75">
      <c r="A21" s="502">
        <v>5</v>
      </c>
      <c r="B21" s="506" t="s">
        <v>118</v>
      </c>
      <c r="C21" s="362">
        <f>+'CPA Amount of Change'!F17</f>
        <v>2291417.0980023355</v>
      </c>
      <c r="D21" s="409"/>
      <c r="E21" s="362">
        <f>+'CPA Amount of Change'!H17</f>
        <v>1421635</v>
      </c>
      <c r="F21" s="500"/>
      <c r="G21" s="511">
        <f>+'CPA Amount of Change'!K17</f>
        <v>-1.9999999999999185E-5</v>
      </c>
      <c r="H21" s="508">
        <f>+G21*C21</f>
        <v>-45.828341960044845</v>
      </c>
      <c r="I21" s="509">
        <f>+H21/E21</f>
        <v>-3.2236363032736848E-5</v>
      </c>
      <c r="J21" s="500"/>
      <c r="Q21" s="202"/>
    </row>
    <row r="22" spans="1:17" ht="15.75">
      <c r="A22" s="501"/>
      <c r="B22" s="500"/>
      <c r="C22" s="409"/>
      <c r="D22" s="409"/>
      <c r="E22" s="409"/>
      <c r="F22" s="500"/>
      <c r="G22" s="512"/>
      <c r="H22" s="500"/>
      <c r="I22" s="509"/>
      <c r="J22" s="500"/>
    </row>
    <row r="23" spans="1:17" ht="15.75">
      <c r="A23" s="501"/>
      <c r="B23" s="500"/>
      <c r="C23" s="409"/>
      <c r="D23" s="409"/>
      <c r="E23" s="409"/>
      <c r="F23" s="500"/>
      <c r="G23" s="512"/>
      <c r="H23" s="508"/>
      <c r="I23" s="509"/>
      <c r="J23" s="500"/>
    </row>
    <row r="24" spans="1:17">
      <c r="H24" s="55"/>
      <c r="I24" s="128"/>
    </row>
    <row r="25" spans="1:17">
      <c r="H25" s="55"/>
      <c r="I25" s="128"/>
    </row>
    <row r="26" spans="1:17">
      <c r="H26" s="55"/>
      <c r="I26" s="128"/>
    </row>
    <row r="57" spans="5:9">
      <c r="G57" s="58"/>
    </row>
    <row r="58" spans="5:9">
      <c r="H58" s="58"/>
    </row>
    <row r="59" spans="5:9">
      <c r="E59" s="7"/>
      <c r="G59" s="7"/>
      <c r="H59" s="7"/>
      <c r="I59" s="7"/>
    </row>
    <row r="60" spans="5:9">
      <c r="E60" s="7"/>
      <c r="G60" s="7"/>
      <c r="H60" s="7"/>
      <c r="I60" s="7"/>
    </row>
    <row r="61" spans="5:9">
      <c r="E61" s="7"/>
      <c r="G61" s="7"/>
      <c r="H61" s="7"/>
      <c r="I61" s="7"/>
    </row>
    <row r="62" spans="5:9">
      <c r="E62" s="7"/>
      <c r="G62" s="7"/>
      <c r="H62" s="7"/>
      <c r="I62" s="7"/>
    </row>
    <row r="63" spans="5:9">
      <c r="E63" s="7"/>
      <c r="G63" s="7"/>
      <c r="H63" s="7"/>
      <c r="I63" s="7"/>
    </row>
    <row r="64" spans="5:9">
      <c r="E64" s="7"/>
      <c r="G64" s="7"/>
      <c r="H64" s="7"/>
      <c r="I64" s="7"/>
    </row>
    <row r="65" spans="2:9">
      <c r="E65" s="7"/>
      <c r="G65" s="7"/>
      <c r="H65" s="7"/>
      <c r="I65" s="7"/>
    </row>
    <row r="69" spans="2:9">
      <c r="B69" s="58"/>
    </row>
  </sheetData>
  <mergeCells count="4">
    <mergeCell ref="C6:G6"/>
    <mergeCell ref="C5:G5"/>
    <mergeCell ref="C4:G4"/>
    <mergeCell ref="C3:G3"/>
  </mergeCells>
  <phoneticPr fontId="14" type="noConversion"/>
  <printOptions horizontalCentered="1"/>
  <pageMargins left="0.2" right="0.2" top="1" bottom="0.43" header="0.24" footer="0.17"/>
  <pageSetup scale="91"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2:O26"/>
  <sheetViews>
    <sheetView zoomScaleNormal="100" workbookViewId="0">
      <selection activeCell="R26" sqref="R26"/>
    </sheetView>
  </sheetViews>
  <sheetFormatPr defaultColWidth="12" defaultRowHeight="15"/>
  <cols>
    <col min="1" max="1" width="7" style="62" customWidth="1"/>
    <col min="2" max="2" width="27" style="47" bestFit="1" customWidth="1"/>
    <col min="3" max="3" width="16.1640625" style="47" customWidth="1"/>
    <col min="4" max="4" width="1.83203125" style="47" customWidth="1"/>
    <col min="5" max="5" width="19" style="47" bestFit="1" customWidth="1"/>
    <col min="6" max="6" width="1.83203125" style="47" customWidth="1"/>
    <col min="7" max="7" width="20.83203125" style="47" customWidth="1"/>
    <col min="8" max="8" width="9.5" style="47" customWidth="1"/>
    <col min="9" max="9" width="15.33203125" style="47" customWidth="1"/>
    <col min="10" max="10" width="1.83203125" style="47" customWidth="1"/>
    <col min="11" max="16384" width="12" style="47"/>
  </cols>
  <sheetData>
    <row r="2" spans="1:15" ht="15.75">
      <c r="A2" s="47"/>
      <c r="B2" s="46"/>
      <c r="C2" s="590" t="s">
        <v>53</v>
      </c>
      <c r="D2" s="590"/>
      <c r="E2" s="590"/>
      <c r="F2" s="590"/>
      <c r="G2" s="590"/>
      <c r="H2" s="590"/>
      <c r="I2" s="46"/>
      <c r="K2" s="533" t="str">
        <f>+'CPA Cost by Class'!H1</f>
        <v>CNGC Advice W20-09-02</v>
      </c>
    </row>
    <row r="3" spans="1:15" ht="15.75">
      <c r="A3" s="47"/>
      <c r="C3" s="519" t="s">
        <v>236</v>
      </c>
      <c r="D3" s="519"/>
      <c r="E3" s="519"/>
      <c r="F3" s="519"/>
      <c r="G3" s="519"/>
      <c r="H3" s="519"/>
      <c r="I3" s="519"/>
      <c r="K3" s="534" t="s">
        <v>228</v>
      </c>
    </row>
    <row r="4" spans="1:15" ht="15.75">
      <c r="A4" s="47"/>
      <c r="B4" s="46"/>
      <c r="C4" s="595" t="s">
        <v>250</v>
      </c>
      <c r="D4" s="590"/>
      <c r="E4" s="590"/>
      <c r="F4" s="590"/>
      <c r="G4" s="590"/>
      <c r="H4" s="590"/>
      <c r="I4" s="46"/>
      <c r="K4" s="534" t="s">
        <v>182</v>
      </c>
    </row>
    <row r="5" spans="1:15" ht="15.75">
      <c r="A5" s="47"/>
      <c r="B5" s="46"/>
      <c r="C5" s="590" t="s">
        <v>55</v>
      </c>
      <c r="D5" s="590"/>
      <c r="E5" s="590"/>
      <c r="F5" s="590"/>
      <c r="G5" s="590"/>
      <c r="H5" s="590"/>
      <c r="I5" s="46"/>
      <c r="J5" s="56"/>
    </row>
    <row r="6" spans="1:15">
      <c r="C6" s="46"/>
      <c r="D6" s="46"/>
      <c r="E6" s="46"/>
      <c r="F6" s="46"/>
      <c r="G6" s="46"/>
      <c r="H6" s="46"/>
      <c r="I6" s="46"/>
      <c r="J6" s="56"/>
    </row>
    <row r="7" spans="1:15" s="62" customFormat="1" ht="15.75">
      <c r="A7" s="501"/>
      <c r="B7" s="501"/>
      <c r="C7" s="502" t="s">
        <v>97</v>
      </c>
      <c r="D7" s="501"/>
      <c r="E7" s="501"/>
      <c r="F7" s="501"/>
      <c r="G7" s="502" t="s">
        <v>98</v>
      </c>
      <c r="H7" s="501"/>
      <c r="I7" s="501"/>
      <c r="J7" s="501"/>
      <c r="K7" s="501"/>
    </row>
    <row r="8" spans="1:15" s="62" customFormat="1" ht="15.75">
      <c r="A8" s="502" t="s">
        <v>7</v>
      </c>
      <c r="B8" s="501"/>
      <c r="C8" s="502" t="s">
        <v>99</v>
      </c>
      <c r="D8" s="501"/>
      <c r="E8" s="502" t="s">
        <v>100</v>
      </c>
      <c r="F8" s="501"/>
      <c r="G8" s="502" t="s">
        <v>101</v>
      </c>
      <c r="H8" s="501"/>
      <c r="I8" s="502" t="s">
        <v>6</v>
      </c>
      <c r="J8" s="501"/>
      <c r="K8" s="502" t="s">
        <v>62</v>
      </c>
    </row>
    <row r="9" spans="1:15" s="62" customFormat="1" ht="15.75">
      <c r="A9" s="502" t="s">
        <v>10</v>
      </c>
      <c r="B9" s="502" t="s">
        <v>0</v>
      </c>
      <c r="C9" s="502" t="s">
        <v>102</v>
      </c>
      <c r="D9" s="501"/>
      <c r="E9" s="576" t="s">
        <v>251</v>
      </c>
      <c r="F9" s="501"/>
      <c r="G9" s="502" t="s">
        <v>103</v>
      </c>
      <c r="H9" s="501"/>
      <c r="I9" s="502" t="s">
        <v>104</v>
      </c>
      <c r="J9" s="501"/>
      <c r="K9" s="502" t="s">
        <v>67</v>
      </c>
    </row>
    <row r="10" spans="1:15" s="62" customFormat="1" ht="15.75">
      <c r="A10" s="504"/>
      <c r="B10" s="505" t="s">
        <v>15</v>
      </c>
      <c r="C10" s="505" t="s">
        <v>16</v>
      </c>
      <c r="D10" s="504"/>
      <c r="E10" s="505" t="s">
        <v>17</v>
      </c>
      <c r="F10" s="504"/>
      <c r="G10" s="505" t="s">
        <v>18</v>
      </c>
      <c r="H10" s="504"/>
      <c r="I10" s="505" t="s">
        <v>19</v>
      </c>
      <c r="J10" s="504"/>
      <c r="K10" s="505" t="s">
        <v>107</v>
      </c>
    </row>
    <row r="11" spans="1:15" ht="9" customHeight="1">
      <c r="A11" s="501"/>
      <c r="B11" s="500"/>
      <c r="C11" s="500"/>
      <c r="D11" s="500"/>
      <c r="E11" s="500"/>
      <c r="F11" s="500"/>
      <c r="G11" s="500"/>
      <c r="H11" s="500"/>
      <c r="I11" s="500"/>
      <c r="J11" s="500"/>
      <c r="K11" s="500"/>
    </row>
    <row r="12" spans="1:15" ht="15.75">
      <c r="A12" s="502">
        <v>1</v>
      </c>
      <c r="B12" s="506" t="s">
        <v>114</v>
      </c>
      <c r="C12" s="513">
        <v>56</v>
      </c>
      <c r="D12" s="500"/>
      <c r="E12" s="514">
        <f>'CPA Amount of Change'!H13/'CPA Amount of Change'!E13/12</f>
        <v>55.848105796158499</v>
      </c>
      <c r="F12" s="500"/>
      <c r="G12" s="579">
        <f>+C12*'CPA Amount of Change'!K13</f>
        <v>-1.1199999999999544E-3</v>
      </c>
      <c r="H12" s="500"/>
      <c r="I12" s="514">
        <f>E12+G12</f>
        <v>55.846985796158499</v>
      </c>
      <c r="J12" s="500"/>
      <c r="K12" s="515">
        <f>G12/E12</f>
        <v>-2.0054395472030376E-5</v>
      </c>
      <c r="O12" s="202"/>
    </row>
    <row r="13" spans="1:15" ht="15.75">
      <c r="A13" s="501"/>
      <c r="B13" s="500"/>
      <c r="C13" s="508"/>
      <c r="D13" s="500"/>
      <c r="E13" s="514"/>
      <c r="F13" s="500"/>
      <c r="G13" s="412"/>
      <c r="H13" s="500"/>
      <c r="I13" s="412"/>
      <c r="J13" s="500"/>
      <c r="K13" s="500"/>
      <c r="O13" s="202"/>
    </row>
    <row r="14" spans="1:15" ht="15.75">
      <c r="A14" s="502">
        <v>2</v>
      </c>
      <c r="B14" s="506" t="s">
        <v>115</v>
      </c>
      <c r="C14" s="508">
        <v>290</v>
      </c>
      <c r="D14" s="500"/>
      <c r="E14" s="514">
        <f>+'CPA Amount of Change'!H14/'CPA Amount of Change'!E14/12</f>
        <v>247.77542666991772</v>
      </c>
      <c r="F14" s="500"/>
      <c r="G14" s="514">
        <f>+C14*'CPA Amount of Change'!K14</f>
        <v>-5.7999999999997637E-3</v>
      </c>
      <c r="H14" s="500"/>
      <c r="I14" s="514">
        <f>E14+G14</f>
        <v>247.76962666991773</v>
      </c>
      <c r="J14" s="500"/>
      <c r="K14" s="515">
        <f>G14/E14</f>
        <v>-2.3408293864937731E-5</v>
      </c>
      <c r="O14" s="202"/>
    </row>
    <row r="15" spans="1:15" ht="15.75">
      <c r="A15" s="501"/>
      <c r="B15" s="500"/>
      <c r="C15" s="508"/>
      <c r="D15" s="500"/>
      <c r="E15" s="516"/>
      <c r="F15" s="500"/>
      <c r="G15" s="517"/>
      <c r="H15" s="500"/>
      <c r="I15" s="412"/>
      <c r="J15" s="500"/>
      <c r="K15" s="500"/>
      <c r="N15" s="62"/>
      <c r="O15" s="202"/>
    </row>
    <row r="16" spans="1:15" ht="15.75">
      <c r="A16" s="502">
        <v>3</v>
      </c>
      <c r="B16" s="506" t="s">
        <v>116</v>
      </c>
      <c r="C16" s="518" t="s">
        <v>105</v>
      </c>
      <c r="D16" s="500"/>
      <c r="E16" s="507">
        <f>+'CPA Amount of Change'!H15/'CPA Amount of Change'!F15</f>
        <v>0.66298992392633138</v>
      </c>
      <c r="F16" s="500"/>
      <c r="G16" s="507">
        <f>+'CPA Amount of Change'!K15</f>
        <v>-1.9999999999999185E-5</v>
      </c>
      <c r="H16" s="500"/>
      <c r="I16" s="507">
        <f>E16+G16</f>
        <v>0.66296992392633136</v>
      </c>
      <c r="J16" s="500"/>
      <c r="K16" s="515">
        <f>G16/E16</f>
        <v>-3.0166370978243556E-5</v>
      </c>
      <c r="O16" s="202"/>
    </row>
    <row r="17" spans="1:15" ht="15.75">
      <c r="A17" s="501"/>
      <c r="B17" s="500"/>
      <c r="C17" s="508"/>
      <c r="D17" s="500"/>
      <c r="E17" s="507"/>
      <c r="F17" s="500"/>
      <c r="G17" s="507"/>
      <c r="H17" s="500"/>
      <c r="I17" s="507"/>
      <c r="J17" s="500"/>
      <c r="K17" s="515"/>
      <c r="O17" s="202"/>
    </row>
    <row r="18" spans="1:15" ht="15.75">
      <c r="A18" s="501">
        <v>4</v>
      </c>
      <c r="B18" s="506" t="s">
        <v>117</v>
      </c>
      <c r="C18" s="518" t="s">
        <v>105</v>
      </c>
      <c r="D18" s="500"/>
      <c r="E18" s="507">
        <f>'CPA Amount of Change'!H16/'CPA Amount of Change'!F16</f>
        <v>0.67471937672267113</v>
      </c>
      <c r="F18" s="500"/>
      <c r="G18" s="507">
        <f>+'CPA Amount of Change'!K16</f>
        <v>-1.9999999999999185E-5</v>
      </c>
      <c r="H18" s="500"/>
      <c r="I18" s="507">
        <f>E18+G18</f>
        <v>0.67469937672267111</v>
      </c>
      <c r="J18" s="500"/>
      <c r="K18" s="515">
        <f>G18/E18</f>
        <v>-2.96419529214436E-5</v>
      </c>
      <c r="O18" s="202"/>
    </row>
    <row r="19" spans="1:15" ht="15.75">
      <c r="A19" s="501"/>
      <c r="B19" s="500"/>
      <c r="C19" s="508"/>
      <c r="D19" s="500"/>
      <c r="E19" s="507"/>
      <c r="F19" s="500"/>
      <c r="G19" s="507"/>
      <c r="H19" s="500"/>
      <c r="I19" s="507"/>
      <c r="J19" s="500"/>
      <c r="K19" s="500"/>
      <c r="O19" s="202"/>
    </row>
    <row r="20" spans="1:15" ht="15.75">
      <c r="A20" s="502">
        <v>5</v>
      </c>
      <c r="B20" s="506" t="s">
        <v>118</v>
      </c>
      <c r="C20" s="518" t="s">
        <v>105</v>
      </c>
      <c r="D20" s="500"/>
      <c r="E20" s="507">
        <f>'CPA Amount of Change'!H17/'CPA Amount of Change'!F17</f>
        <v>0.62041738330371443</v>
      </c>
      <c r="F20" s="500"/>
      <c r="G20" s="507">
        <f>+'CPA Amount of Change'!K17</f>
        <v>-1.9999999999999185E-5</v>
      </c>
      <c r="H20" s="500"/>
      <c r="I20" s="507">
        <f>E20+G20</f>
        <v>0.62039738330371441</v>
      </c>
      <c r="J20" s="500"/>
      <c r="K20" s="515">
        <f>G20/E20</f>
        <v>-3.2236363032736842E-5</v>
      </c>
      <c r="O20" s="202"/>
    </row>
    <row r="21" spans="1:15" ht="15.75">
      <c r="A21" s="501"/>
      <c r="B21" s="500"/>
      <c r="C21" s="500"/>
      <c r="D21" s="500"/>
      <c r="E21" s="510"/>
      <c r="F21" s="500"/>
      <c r="G21" s="510"/>
      <c r="H21" s="500"/>
      <c r="I21" s="507"/>
      <c r="J21" s="500"/>
      <c r="K21" s="515"/>
    </row>
    <row r="22" spans="1:15" ht="15.75">
      <c r="A22" s="501"/>
      <c r="B22" s="500"/>
      <c r="C22" s="500"/>
      <c r="D22" s="500"/>
      <c r="E22" s="510"/>
      <c r="F22" s="500"/>
      <c r="G22" s="510"/>
      <c r="H22" s="500"/>
      <c r="I22" s="507"/>
      <c r="J22" s="500"/>
      <c r="K22" s="515"/>
    </row>
    <row r="23" spans="1:15" ht="15.75">
      <c r="A23" s="501"/>
      <c r="B23" s="596" t="s">
        <v>218</v>
      </c>
      <c r="C23" s="596"/>
      <c r="D23" s="596"/>
      <c r="E23" s="596"/>
      <c r="F23" s="596"/>
      <c r="G23" s="596"/>
      <c r="H23" s="596"/>
      <c r="I23" s="596"/>
      <c r="J23" s="596"/>
      <c r="K23" s="596"/>
    </row>
    <row r="24" spans="1:15" ht="15.75">
      <c r="A24" s="501"/>
      <c r="B24" s="596"/>
      <c r="C24" s="596"/>
      <c r="D24" s="596"/>
      <c r="E24" s="596"/>
      <c r="F24" s="596"/>
      <c r="G24" s="596"/>
      <c r="H24" s="596"/>
      <c r="I24" s="596"/>
      <c r="J24" s="596"/>
      <c r="K24" s="596"/>
    </row>
    <row r="25" spans="1:15" ht="15.75">
      <c r="A25" s="501"/>
      <c r="B25" s="596"/>
      <c r="C25" s="596"/>
      <c r="D25" s="596"/>
      <c r="E25" s="596"/>
      <c r="F25" s="596"/>
      <c r="G25" s="596"/>
      <c r="H25" s="596"/>
      <c r="I25" s="596"/>
      <c r="J25" s="596"/>
      <c r="K25" s="596"/>
    </row>
    <row r="26" spans="1:15" ht="15.75">
      <c r="A26" s="501"/>
      <c r="B26" s="500"/>
      <c r="C26" s="500"/>
      <c r="D26" s="500"/>
      <c r="E26" s="500"/>
      <c r="F26" s="500"/>
      <c r="G26" s="500"/>
      <c r="H26" s="500"/>
      <c r="I26" s="500"/>
      <c r="J26" s="500"/>
      <c r="K26" s="500"/>
    </row>
  </sheetData>
  <mergeCells count="4">
    <mergeCell ref="C5:H5"/>
    <mergeCell ref="C4:H4"/>
    <mergeCell ref="C2:H2"/>
    <mergeCell ref="B23:K25"/>
  </mergeCells>
  <phoneticPr fontId="14" type="noConversion"/>
  <printOptions horizontalCentered="1"/>
  <pageMargins left="0.7" right="0.2" top="1" bottom="1" header="0.5" footer="0.5"/>
  <pageSetup orientation="landscape" horizontalDpi="4294967292" r:id="rId1"/>
  <headerFooter alignWithMargins="0">
    <oddFooter>&amp;LTab Name: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210" customWidth="1"/>
    <col min="2" max="2" width="26" style="210" customWidth="1"/>
    <col min="3" max="3" width="14.1640625" style="210" customWidth="1"/>
    <col min="4" max="4" width="16.1640625" style="210" customWidth="1"/>
    <col min="5" max="5" width="16" style="210" customWidth="1"/>
    <col min="6" max="6" width="16.5" style="210" customWidth="1"/>
    <col min="7" max="7" width="21.83203125" style="210" customWidth="1"/>
    <col min="8" max="8" width="16.1640625" style="210" customWidth="1"/>
    <col min="9" max="9" width="18" style="210" customWidth="1"/>
    <col min="10" max="10" width="16.1640625" style="210" customWidth="1"/>
    <col min="11" max="12" width="13.83203125" style="210" customWidth="1"/>
    <col min="13" max="13" width="14.83203125" style="210" customWidth="1"/>
    <col min="14" max="14" width="13.33203125" style="210" customWidth="1"/>
    <col min="15" max="15" width="19.6640625" style="210" customWidth="1"/>
    <col min="16" max="17" width="13.33203125" style="210" customWidth="1"/>
    <col min="18" max="18" width="16" style="210" customWidth="1"/>
    <col min="19" max="19" width="14.1640625" style="210" customWidth="1"/>
    <col min="20" max="20" width="17" style="210" customWidth="1"/>
    <col min="21" max="21" width="14.1640625" style="210" customWidth="1"/>
    <col min="22" max="16384" width="10.6640625" style="210"/>
  </cols>
  <sheetData>
    <row r="1" spans="2:15">
      <c r="C1" s="597" t="s">
        <v>53</v>
      </c>
      <c r="D1" s="597"/>
      <c r="E1" s="597"/>
      <c r="F1" s="597"/>
      <c r="G1" s="287" t="s">
        <v>190</v>
      </c>
    </row>
    <row r="2" spans="2:15">
      <c r="C2" s="597" t="s">
        <v>106</v>
      </c>
      <c r="D2" s="597"/>
      <c r="E2" s="597"/>
      <c r="F2" s="597"/>
      <c r="G2" s="287" t="s">
        <v>54</v>
      </c>
    </row>
    <row r="3" spans="2:15">
      <c r="C3" s="597" t="s">
        <v>213</v>
      </c>
      <c r="D3" s="597"/>
      <c r="E3" s="597"/>
      <c r="F3" s="597"/>
      <c r="G3" s="288" t="s">
        <v>184</v>
      </c>
    </row>
    <row r="4" spans="2:15" s="211" customFormat="1">
      <c r="C4" s="597" t="s">
        <v>55</v>
      </c>
      <c r="D4" s="597"/>
      <c r="E4" s="597"/>
      <c r="F4" s="597"/>
      <c r="G4" s="212"/>
      <c r="H4" s="212"/>
      <c r="I4" s="212"/>
      <c r="J4" s="212"/>
      <c r="K4" s="212"/>
      <c r="L4" s="212"/>
      <c r="M4" s="212"/>
      <c r="N4" s="212"/>
      <c r="O4" s="212"/>
    </row>
    <row r="5" spans="2:15">
      <c r="B5" s="213"/>
      <c r="C5" s="213"/>
      <c r="D5" s="213"/>
      <c r="E5" s="213"/>
      <c r="F5" s="214"/>
    </row>
    <row r="6" spans="2:15" s="217" customFormat="1" ht="60">
      <c r="B6" s="193" t="s">
        <v>0</v>
      </c>
      <c r="C6" s="215" t="s">
        <v>171</v>
      </c>
      <c r="D6" s="193" t="s">
        <v>191</v>
      </c>
      <c r="E6" s="192" t="s">
        <v>192</v>
      </c>
      <c r="F6" s="193" t="s">
        <v>193</v>
      </c>
      <c r="G6" s="193" t="s">
        <v>194</v>
      </c>
      <c r="H6" s="216"/>
      <c r="I6" s="216"/>
      <c r="J6" s="216"/>
      <c r="K6" s="216"/>
    </row>
    <row r="7" spans="2:15">
      <c r="B7" s="218" t="s">
        <v>15</v>
      </c>
      <c r="C7" s="219" t="s">
        <v>16</v>
      </c>
      <c r="D7" s="220" t="s">
        <v>17</v>
      </c>
      <c r="E7" s="194" t="s">
        <v>18</v>
      </c>
      <c r="F7" s="195" t="s">
        <v>107</v>
      </c>
      <c r="G7" s="195" t="s">
        <v>69</v>
      </c>
      <c r="H7" s="214"/>
      <c r="I7" s="214"/>
      <c r="J7" s="214"/>
      <c r="K7" s="214"/>
    </row>
    <row r="8" spans="2:15">
      <c r="B8" s="221" t="s">
        <v>108</v>
      </c>
      <c r="C8" s="120"/>
      <c r="D8" s="120"/>
      <c r="E8" s="120"/>
      <c r="F8" s="196"/>
      <c r="G8" s="120"/>
    </row>
    <row r="9" spans="2:15">
      <c r="B9" s="222" t="s">
        <v>110</v>
      </c>
      <c r="C9" s="223">
        <v>502</v>
      </c>
      <c r="D9" s="9">
        <v>-3.8400000000000001E-3</v>
      </c>
      <c r="E9" s="9">
        <v>7.9900000000000006E-3</v>
      </c>
      <c r="F9" s="96">
        <f t="shared" ref="F9:F17" si="0">SUM(D9:E9)</f>
        <v>4.1500000000000009E-3</v>
      </c>
      <c r="G9" s="197">
        <f t="shared" ref="G9:G17" si="1">+E9</f>
        <v>7.9900000000000006E-3</v>
      </c>
      <c r="H9" s="5"/>
      <c r="I9" s="213"/>
    </row>
    <row r="10" spans="2:15">
      <c r="B10" s="224" t="s">
        <v>73</v>
      </c>
      <c r="C10" s="225">
        <v>503</v>
      </c>
      <c r="D10" s="9">
        <f>+D9</f>
        <v>-3.8400000000000001E-3</v>
      </c>
      <c r="E10" s="9">
        <v>7.9900000000000006E-3</v>
      </c>
      <c r="F10" s="96">
        <f t="shared" si="0"/>
        <v>4.1500000000000009E-3</v>
      </c>
      <c r="G10" s="97">
        <f t="shared" si="1"/>
        <v>7.9900000000000006E-3</v>
      </c>
      <c r="H10" s="5"/>
      <c r="I10" s="98"/>
      <c r="J10" s="43"/>
      <c r="K10" s="43"/>
    </row>
    <row r="11" spans="2:15">
      <c r="B11" s="224" t="s">
        <v>81</v>
      </c>
      <c r="C11" s="225">
        <v>504</v>
      </c>
      <c r="D11" s="9">
        <v>-3.7200000000000002E-3</v>
      </c>
      <c r="E11" s="9">
        <v>8.1300000000000001E-3</v>
      </c>
      <c r="F11" s="96">
        <f t="shared" si="0"/>
        <v>4.4099999999999999E-3</v>
      </c>
      <c r="G11" s="97">
        <f t="shared" si="1"/>
        <v>8.1300000000000001E-3</v>
      </c>
      <c r="H11" s="5"/>
      <c r="I11" s="98"/>
      <c r="J11" s="43"/>
      <c r="K11" s="43"/>
    </row>
    <row r="12" spans="2:15">
      <c r="B12" s="224" t="s">
        <v>112</v>
      </c>
      <c r="C12" s="225">
        <v>512</v>
      </c>
      <c r="D12" s="9">
        <v>-2.7299999999999998E-3</v>
      </c>
      <c r="E12" s="9">
        <v>5.0899999999999999E-3</v>
      </c>
      <c r="F12" s="96">
        <f t="shared" si="0"/>
        <v>2.3600000000000001E-3</v>
      </c>
      <c r="G12" s="97">
        <f t="shared" si="1"/>
        <v>5.0899999999999999E-3</v>
      </c>
      <c r="H12" s="5"/>
      <c r="I12" s="98"/>
      <c r="J12" s="43"/>
      <c r="K12" s="43"/>
    </row>
    <row r="13" spans="2:15">
      <c r="B13" s="224" t="s">
        <v>113</v>
      </c>
      <c r="C13" s="225">
        <v>541</v>
      </c>
      <c r="D13" s="9">
        <v>-3.7200000000000002E-3</v>
      </c>
      <c r="E13" s="9">
        <v>8.1300000000000001E-3</v>
      </c>
      <c r="F13" s="96">
        <f t="shared" si="0"/>
        <v>4.4099999999999999E-3</v>
      </c>
      <c r="G13" s="97">
        <f t="shared" si="1"/>
        <v>8.1300000000000001E-3</v>
      </c>
      <c r="H13" s="5"/>
      <c r="I13" s="98"/>
      <c r="J13" s="43"/>
      <c r="K13" s="43"/>
    </row>
    <row r="14" spans="2:15">
      <c r="B14" s="224" t="s">
        <v>173</v>
      </c>
      <c r="C14" s="226">
        <v>511</v>
      </c>
      <c r="D14" s="9">
        <v>-2.16E-3</v>
      </c>
      <c r="E14" s="9">
        <v>4.79E-3</v>
      </c>
      <c r="F14" s="96">
        <f t="shared" si="0"/>
        <v>2.63E-3</v>
      </c>
      <c r="G14" s="97">
        <f t="shared" si="1"/>
        <v>4.79E-3</v>
      </c>
      <c r="H14" s="5"/>
      <c r="I14" s="98"/>
      <c r="J14" s="43"/>
      <c r="K14" s="43"/>
    </row>
    <row r="15" spans="2:15">
      <c r="B15" s="224" t="s">
        <v>85</v>
      </c>
      <c r="C15" s="226">
        <v>505</v>
      </c>
      <c r="D15" s="9">
        <v>-5.2199999999999998E-3</v>
      </c>
      <c r="E15" s="9">
        <v>6.1000000000000004E-3</v>
      </c>
      <c r="F15" s="96">
        <f t="shared" si="0"/>
        <v>8.8000000000000057E-4</v>
      </c>
      <c r="G15" s="97">
        <f t="shared" si="1"/>
        <v>6.1000000000000004E-3</v>
      </c>
      <c r="H15" s="5"/>
      <c r="I15" s="98"/>
      <c r="J15" s="43"/>
      <c r="K15" s="43"/>
    </row>
    <row r="16" spans="2:15">
      <c r="B16" s="224" t="s">
        <v>109</v>
      </c>
      <c r="C16" s="226">
        <v>570</v>
      </c>
      <c r="D16" s="9">
        <v>-5.5000000000000003E-4</v>
      </c>
      <c r="E16" s="9">
        <v>1.16E-3</v>
      </c>
      <c r="F16" s="96">
        <f t="shared" si="0"/>
        <v>6.0999999999999997E-4</v>
      </c>
      <c r="G16" s="97">
        <f t="shared" si="1"/>
        <v>1.16E-3</v>
      </c>
      <c r="H16" s="5"/>
      <c r="I16" s="98"/>
      <c r="J16" s="43"/>
      <c r="K16" s="43"/>
    </row>
    <row r="17" spans="2:22">
      <c r="B17" s="224" t="s">
        <v>111</v>
      </c>
      <c r="C17" s="226">
        <v>577</v>
      </c>
      <c r="D17" s="9">
        <v>-1E-3</v>
      </c>
      <c r="E17" s="9">
        <v>2.31E-3</v>
      </c>
      <c r="F17" s="96">
        <f t="shared" si="0"/>
        <v>1.31E-3</v>
      </c>
      <c r="G17" s="97">
        <f t="shared" si="1"/>
        <v>2.31E-3</v>
      </c>
      <c r="H17" s="5"/>
      <c r="I17" s="98"/>
      <c r="J17" s="43"/>
      <c r="K17" s="43"/>
    </row>
    <row r="18" spans="2:22">
      <c r="B18" s="227"/>
      <c r="C18" s="119"/>
      <c r="D18" s="119"/>
      <c r="E18" s="119"/>
      <c r="F18" s="198"/>
      <c r="G18" s="119"/>
      <c r="H18" s="98"/>
      <c r="I18" s="98"/>
      <c r="J18" s="43"/>
      <c r="K18" s="43"/>
    </row>
    <row r="19" spans="2:22">
      <c r="B19" s="221" t="s">
        <v>195</v>
      </c>
      <c r="C19" s="120"/>
      <c r="D19" s="120"/>
      <c r="E19" s="120"/>
      <c r="F19" s="120"/>
      <c r="G19" s="239"/>
      <c r="H19" s="43"/>
      <c r="I19" s="43"/>
      <c r="J19" s="43"/>
      <c r="K19" s="43"/>
    </row>
    <row r="20" spans="2:22">
      <c r="B20" s="240" t="s">
        <v>196</v>
      </c>
      <c r="C20" s="230">
        <v>663</v>
      </c>
      <c r="D20" s="241">
        <v>-2.9E-4</v>
      </c>
      <c r="E20" s="9">
        <v>6.6E-4</v>
      </c>
      <c r="F20" s="242">
        <f>SUM(D20:E20)</f>
        <v>3.6999999999999999E-4</v>
      </c>
      <c r="G20" s="97">
        <f>+E20</f>
        <v>6.6E-4</v>
      </c>
      <c r="H20" s="43"/>
      <c r="I20" s="43"/>
      <c r="J20" s="43"/>
      <c r="K20" s="43"/>
    </row>
    <row r="21" spans="2:22">
      <c r="B21" s="240" t="s">
        <v>197</v>
      </c>
      <c r="C21" s="230" t="s">
        <v>47</v>
      </c>
      <c r="D21" s="9">
        <v>0</v>
      </c>
      <c r="E21" s="9">
        <v>0</v>
      </c>
      <c r="F21" s="96">
        <f>SUM(D21:E21)</f>
        <v>0</v>
      </c>
      <c r="G21" s="97">
        <f>+E21</f>
        <v>0</v>
      </c>
      <c r="H21" s="43"/>
      <c r="I21" s="43"/>
      <c r="J21" s="43"/>
      <c r="K21" s="43"/>
    </row>
    <row r="22" spans="2:22">
      <c r="B22" s="243" t="s">
        <v>198</v>
      </c>
      <c r="C22" s="244" t="s">
        <v>199</v>
      </c>
      <c r="D22" s="245">
        <v>0</v>
      </c>
      <c r="E22" s="246">
        <v>0</v>
      </c>
      <c r="F22" s="247">
        <f>SUM(E22:E22)</f>
        <v>0</v>
      </c>
      <c r="G22" s="248">
        <f>+E22</f>
        <v>0</v>
      </c>
      <c r="H22" s="43"/>
      <c r="I22" s="43"/>
      <c r="J22" s="43"/>
      <c r="K22" s="43"/>
    </row>
    <row r="23" spans="2:22" s="213" customFormat="1">
      <c r="B23" s="228"/>
      <c r="G23" s="98"/>
      <c r="H23" s="98"/>
      <c r="I23" s="98"/>
      <c r="J23" s="98"/>
      <c r="K23" s="98"/>
    </row>
    <row r="24" spans="2:22">
      <c r="B24" s="229" t="s">
        <v>200</v>
      </c>
      <c r="G24" s="7"/>
      <c r="Q24" s="43"/>
      <c r="R24" s="43"/>
      <c r="S24" s="43"/>
      <c r="T24" s="43"/>
      <c r="U24" s="43"/>
      <c r="V24" s="43"/>
    </row>
    <row r="25" spans="2:22">
      <c r="B25" s="229" t="s">
        <v>174</v>
      </c>
      <c r="F25" s="230"/>
      <c r="G25" s="7"/>
      <c r="Q25" s="43"/>
      <c r="R25" s="43"/>
      <c r="S25" s="43"/>
      <c r="T25" s="43"/>
      <c r="U25" s="43"/>
    </row>
    <row r="26" spans="2:22">
      <c r="B26" s="229" t="s">
        <v>175</v>
      </c>
      <c r="F26" s="230"/>
      <c r="G26" s="7"/>
      <c r="Q26" s="43"/>
      <c r="R26" s="43"/>
      <c r="S26" s="43"/>
      <c r="T26" s="43"/>
      <c r="U26" s="43"/>
    </row>
    <row r="27" spans="2:22">
      <c r="B27" s="231"/>
      <c r="F27" s="230"/>
      <c r="G27" s="7"/>
    </row>
    <row r="28" spans="2:22">
      <c r="B28" s="231"/>
      <c r="F28" s="230"/>
      <c r="G28" s="101"/>
      <c r="H28" s="101"/>
      <c r="I28" s="101"/>
    </row>
    <row r="29" spans="2:22">
      <c r="F29" s="232"/>
      <c r="K29" s="101"/>
    </row>
    <row r="30" spans="2:22">
      <c r="F30" s="233"/>
      <c r="K30" s="101"/>
    </row>
    <row r="31" spans="2:22">
      <c r="K31" s="101"/>
    </row>
    <row r="32" spans="2:22">
      <c r="K32" s="101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77" bestFit="1" customWidth="1"/>
    <col min="2" max="2" width="9.33203125" style="202"/>
    <col min="3" max="3" width="19.5" style="202" customWidth="1"/>
    <col min="4" max="4" width="13.5" style="202" customWidth="1"/>
    <col min="5" max="5" width="11" style="202" customWidth="1"/>
    <col min="6" max="6" width="17.1640625" style="202" customWidth="1"/>
    <col min="7" max="7" width="1.33203125" style="18" customWidth="1"/>
    <col min="8" max="8" width="15.33203125" style="202" customWidth="1"/>
    <col min="9" max="10" width="1.33203125" style="18" customWidth="1"/>
    <col min="11" max="11" width="15.33203125" style="11" customWidth="1"/>
    <col min="12" max="12" width="16.1640625" style="202" customWidth="1"/>
    <col min="13" max="13" width="11.33203125" style="202" hidden="1" customWidth="1" outlineLevel="1"/>
    <col min="14" max="14" width="9.33203125" style="202" collapsed="1"/>
    <col min="15" max="251" width="9.33203125" style="202"/>
    <col min="252" max="252" width="5" style="202" customWidth="1"/>
    <col min="253" max="253" width="9.33203125" style="202"/>
    <col min="254" max="254" width="21.6640625" style="202" customWidth="1"/>
    <col min="255" max="255" width="13.5" style="202" customWidth="1"/>
    <col min="256" max="256" width="10.5" style="202" customWidth="1"/>
    <col min="257" max="257" width="15.1640625" style="202" customWidth="1"/>
    <col min="258" max="258" width="3.6640625" style="202" customWidth="1"/>
    <col min="259" max="259" width="13.1640625" style="202" customWidth="1"/>
    <col min="260" max="260" width="3.83203125" style="202" customWidth="1"/>
    <col min="261" max="261" width="15" style="202" customWidth="1"/>
    <col min="262" max="262" width="3.6640625" style="202" customWidth="1"/>
    <col min="263" max="264" width="13" style="202" customWidth="1"/>
    <col min="265" max="265" width="0" style="202" hidden="1" customWidth="1"/>
    <col min="266" max="267" width="9.33203125" style="202"/>
    <col min="268" max="268" width="15.83203125" style="202" customWidth="1"/>
    <col min="269" max="507" width="9.33203125" style="202"/>
    <col min="508" max="508" width="5" style="202" customWidth="1"/>
    <col min="509" max="509" width="9.33203125" style="202"/>
    <col min="510" max="510" width="21.6640625" style="202" customWidth="1"/>
    <col min="511" max="511" width="13.5" style="202" customWidth="1"/>
    <col min="512" max="512" width="10.5" style="202" customWidth="1"/>
    <col min="513" max="513" width="15.1640625" style="202" customWidth="1"/>
    <col min="514" max="514" width="3.6640625" style="202" customWidth="1"/>
    <col min="515" max="515" width="13.1640625" style="202" customWidth="1"/>
    <col min="516" max="516" width="3.83203125" style="202" customWidth="1"/>
    <col min="517" max="517" width="15" style="202" customWidth="1"/>
    <col min="518" max="518" width="3.6640625" style="202" customWidth="1"/>
    <col min="519" max="520" width="13" style="202" customWidth="1"/>
    <col min="521" max="521" width="0" style="202" hidden="1" customWidth="1"/>
    <col min="522" max="523" width="9.33203125" style="202"/>
    <col min="524" max="524" width="15.83203125" style="202" customWidth="1"/>
    <col min="525" max="763" width="9.33203125" style="202"/>
    <col min="764" max="764" width="5" style="202" customWidth="1"/>
    <col min="765" max="765" width="9.33203125" style="202"/>
    <col min="766" max="766" width="21.6640625" style="202" customWidth="1"/>
    <col min="767" max="767" width="13.5" style="202" customWidth="1"/>
    <col min="768" max="768" width="10.5" style="202" customWidth="1"/>
    <col min="769" max="769" width="15.1640625" style="202" customWidth="1"/>
    <col min="770" max="770" width="3.6640625" style="202" customWidth="1"/>
    <col min="771" max="771" width="13.1640625" style="202" customWidth="1"/>
    <col min="772" max="772" width="3.83203125" style="202" customWidth="1"/>
    <col min="773" max="773" width="15" style="202" customWidth="1"/>
    <col min="774" max="774" width="3.6640625" style="202" customWidth="1"/>
    <col min="775" max="776" width="13" style="202" customWidth="1"/>
    <col min="777" max="777" width="0" style="202" hidden="1" customWidth="1"/>
    <col min="778" max="779" width="9.33203125" style="202"/>
    <col min="780" max="780" width="15.83203125" style="202" customWidth="1"/>
    <col min="781" max="1019" width="9.33203125" style="202"/>
    <col min="1020" max="1020" width="5" style="202" customWidth="1"/>
    <col min="1021" max="1021" width="9.33203125" style="202"/>
    <col min="1022" max="1022" width="21.6640625" style="202" customWidth="1"/>
    <col min="1023" max="1023" width="13.5" style="202" customWidth="1"/>
    <col min="1024" max="1024" width="10.5" style="202" customWidth="1"/>
    <col min="1025" max="1025" width="15.1640625" style="202" customWidth="1"/>
    <col min="1026" max="1026" width="3.6640625" style="202" customWidth="1"/>
    <col min="1027" max="1027" width="13.1640625" style="202" customWidth="1"/>
    <col min="1028" max="1028" width="3.83203125" style="202" customWidth="1"/>
    <col min="1029" max="1029" width="15" style="202" customWidth="1"/>
    <col min="1030" max="1030" width="3.6640625" style="202" customWidth="1"/>
    <col min="1031" max="1032" width="13" style="202" customWidth="1"/>
    <col min="1033" max="1033" width="0" style="202" hidden="1" customWidth="1"/>
    <col min="1034" max="1035" width="9.33203125" style="202"/>
    <col min="1036" max="1036" width="15.83203125" style="202" customWidth="1"/>
    <col min="1037" max="1275" width="9.33203125" style="202"/>
    <col min="1276" max="1276" width="5" style="202" customWidth="1"/>
    <col min="1277" max="1277" width="9.33203125" style="202"/>
    <col min="1278" max="1278" width="21.6640625" style="202" customWidth="1"/>
    <col min="1279" max="1279" width="13.5" style="202" customWidth="1"/>
    <col min="1280" max="1280" width="10.5" style="202" customWidth="1"/>
    <col min="1281" max="1281" width="15.1640625" style="202" customWidth="1"/>
    <col min="1282" max="1282" width="3.6640625" style="202" customWidth="1"/>
    <col min="1283" max="1283" width="13.1640625" style="202" customWidth="1"/>
    <col min="1284" max="1284" width="3.83203125" style="202" customWidth="1"/>
    <col min="1285" max="1285" width="15" style="202" customWidth="1"/>
    <col min="1286" max="1286" width="3.6640625" style="202" customWidth="1"/>
    <col min="1287" max="1288" width="13" style="202" customWidth="1"/>
    <col min="1289" max="1289" width="0" style="202" hidden="1" customWidth="1"/>
    <col min="1290" max="1291" width="9.33203125" style="202"/>
    <col min="1292" max="1292" width="15.83203125" style="202" customWidth="1"/>
    <col min="1293" max="1531" width="9.33203125" style="202"/>
    <col min="1532" max="1532" width="5" style="202" customWidth="1"/>
    <col min="1533" max="1533" width="9.33203125" style="202"/>
    <col min="1534" max="1534" width="21.6640625" style="202" customWidth="1"/>
    <col min="1535" max="1535" width="13.5" style="202" customWidth="1"/>
    <col min="1536" max="1536" width="10.5" style="202" customWidth="1"/>
    <col min="1537" max="1537" width="15.1640625" style="202" customWidth="1"/>
    <col min="1538" max="1538" width="3.6640625" style="202" customWidth="1"/>
    <col min="1539" max="1539" width="13.1640625" style="202" customWidth="1"/>
    <col min="1540" max="1540" width="3.83203125" style="202" customWidth="1"/>
    <col min="1541" max="1541" width="15" style="202" customWidth="1"/>
    <col min="1542" max="1542" width="3.6640625" style="202" customWidth="1"/>
    <col min="1543" max="1544" width="13" style="202" customWidth="1"/>
    <col min="1545" max="1545" width="0" style="202" hidden="1" customWidth="1"/>
    <col min="1546" max="1547" width="9.33203125" style="202"/>
    <col min="1548" max="1548" width="15.83203125" style="202" customWidth="1"/>
    <col min="1549" max="1787" width="9.33203125" style="202"/>
    <col min="1788" max="1788" width="5" style="202" customWidth="1"/>
    <col min="1789" max="1789" width="9.33203125" style="202"/>
    <col min="1790" max="1790" width="21.6640625" style="202" customWidth="1"/>
    <col min="1791" max="1791" width="13.5" style="202" customWidth="1"/>
    <col min="1792" max="1792" width="10.5" style="202" customWidth="1"/>
    <col min="1793" max="1793" width="15.1640625" style="202" customWidth="1"/>
    <col min="1794" max="1794" width="3.6640625" style="202" customWidth="1"/>
    <col min="1795" max="1795" width="13.1640625" style="202" customWidth="1"/>
    <col min="1796" max="1796" width="3.83203125" style="202" customWidth="1"/>
    <col min="1797" max="1797" width="15" style="202" customWidth="1"/>
    <col min="1798" max="1798" width="3.6640625" style="202" customWidth="1"/>
    <col min="1799" max="1800" width="13" style="202" customWidth="1"/>
    <col min="1801" max="1801" width="0" style="202" hidden="1" customWidth="1"/>
    <col min="1802" max="1803" width="9.33203125" style="202"/>
    <col min="1804" max="1804" width="15.83203125" style="202" customWidth="1"/>
    <col min="1805" max="2043" width="9.33203125" style="202"/>
    <col min="2044" max="2044" width="5" style="202" customWidth="1"/>
    <col min="2045" max="2045" width="9.33203125" style="202"/>
    <col min="2046" max="2046" width="21.6640625" style="202" customWidth="1"/>
    <col min="2047" max="2047" width="13.5" style="202" customWidth="1"/>
    <col min="2048" max="2048" width="10.5" style="202" customWidth="1"/>
    <col min="2049" max="2049" width="15.1640625" style="202" customWidth="1"/>
    <col min="2050" max="2050" width="3.6640625" style="202" customWidth="1"/>
    <col min="2051" max="2051" width="13.1640625" style="202" customWidth="1"/>
    <col min="2052" max="2052" width="3.83203125" style="202" customWidth="1"/>
    <col min="2053" max="2053" width="15" style="202" customWidth="1"/>
    <col min="2054" max="2054" width="3.6640625" style="202" customWidth="1"/>
    <col min="2055" max="2056" width="13" style="202" customWidth="1"/>
    <col min="2057" max="2057" width="0" style="202" hidden="1" customWidth="1"/>
    <col min="2058" max="2059" width="9.33203125" style="202"/>
    <col min="2060" max="2060" width="15.83203125" style="202" customWidth="1"/>
    <col min="2061" max="2299" width="9.33203125" style="202"/>
    <col min="2300" max="2300" width="5" style="202" customWidth="1"/>
    <col min="2301" max="2301" width="9.33203125" style="202"/>
    <col min="2302" max="2302" width="21.6640625" style="202" customWidth="1"/>
    <col min="2303" max="2303" width="13.5" style="202" customWidth="1"/>
    <col min="2304" max="2304" width="10.5" style="202" customWidth="1"/>
    <col min="2305" max="2305" width="15.1640625" style="202" customWidth="1"/>
    <col min="2306" max="2306" width="3.6640625" style="202" customWidth="1"/>
    <col min="2307" max="2307" width="13.1640625" style="202" customWidth="1"/>
    <col min="2308" max="2308" width="3.83203125" style="202" customWidth="1"/>
    <col min="2309" max="2309" width="15" style="202" customWidth="1"/>
    <col min="2310" max="2310" width="3.6640625" style="202" customWidth="1"/>
    <col min="2311" max="2312" width="13" style="202" customWidth="1"/>
    <col min="2313" max="2313" width="0" style="202" hidden="1" customWidth="1"/>
    <col min="2314" max="2315" width="9.33203125" style="202"/>
    <col min="2316" max="2316" width="15.83203125" style="202" customWidth="1"/>
    <col min="2317" max="2555" width="9.33203125" style="202"/>
    <col min="2556" max="2556" width="5" style="202" customWidth="1"/>
    <col min="2557" max="2557" width="9.33203125" style="202"/>
    <col min="2558" max="2558" width="21.6640625" style="202" customWidth="1"/>
    <col min="2559" max="2559" width="13.5" style="202" customWidth="1"/>
    <col min="2560" max="2560" width="10.5" style="202" customWidth="1"/>
    <col min="2561" max="2561" width="15.1640625" style="202" customWidth="1"/>
    <col min="2562" max="2562" width="3.6640625" style="202" customWidth="1"/>
    <col min="2563" max="2563" width="13.1640625" style="202" customWidth="1"/>
    <col min="2564" max="2564" width="3.83203125" style="202" customWidth="1"/>
    <col min="2565" max="2565" width="15" style="202" customWidth="1"/>
    <col min="2566" max="2566" width="3.6640625" style="202" customWidth="1"/>
    <col min="2567" max="2568" width="13" style="202" customWidth="1"/>
    <col min="2569" max="2569" width="0" style="202" hidden="1" customWidth="1"/>
    <col min="2570" max="2571" width="9.33203125" style="202"/>
    <col min="2572" max="2572" width="15.83203125" style="202" customWidth="1"/>
    <col min="2573" max="2811" width="9.33203125" style="202"/>
    <col min="2812" max="2812" width="5" style="202" customWidth="1"/>
    <col min="2813" max="2813" width="9.33203125" style="202"/>
    <col min="2814" max="2814" width="21.6640625" style="202" customWidth="1"/>
    <col min="2815" max="2815" width="13.5" style="202" customWidth="1"/>
    <col min="2816" max="2816" width="10.5" style="202" customWidth="1"/>
    <col min="2817" max="2817" width="15.1640625" style="202" customWidth="1"/>
    <col min="2818" max="2818" width="3.6640625" style="202" customWidth="1"/>
    <col min="2819" max="2819" width="13.1640625" style="202" customWidth="1"/>
    <col min="2820" max="2820" width="3.83203125" style="202" customWidth="1"/>
    <col min="2821" max="2821" width="15" style="202" customWidth="1"/>
    <col min="2822" max="2822" width="3.6640625" style="202" customWidth="1"/>
    <col min="2823" max="2824" width="13" style="202" customWidth="1"/>
    <col min="2825" max="2825" width="0" style="202" hidden="1" customWidth="1"/>
    <col min="2826" max="2827" width="9.33203125" style="202"/>
    <col min="2828" max="2828" width="15.83203125" style="202" customWidth="1"/>
    <col min="2829" max="3067" width="9.33203125" style="202"/>
    <col min="3068" max="3068" width="5" style="202" customWidth="1"/>
    <col min="3069" max="3069" width="9.33203125" style="202"/>
    <col min="3070" max="3070" width="21.6640625" style="202" customWidth="1"/>
    <col min="3071" max="3071" width="13.5" style="202" customWidth="1"/>
    <col min="3072" max="3072" width="10.5" style="202" customWidth="1"/>
    <col min="3073" max="3073" width="15.1640625" style="202" customWidth="1"/>
    <col min="3074" max="3074" width="3.6640625" style="202" customWidth="1"/>
    <col min="3075" max="3075" width="13.1640625" style="202" customWidth="1"/>
    <col min="3076" max="3076" width="3.83203125" style="202" customWidth="1"/>
    <col min="3077" max="3077" width="15" style="202" customWidth="1"/>
    <col min="3078" max="3078" width="3.6640625" style="202" customWidth="1"/>
    <col min="3079" max="3080" width="13" style="202" customWidth="1"/>
    <col min="3081" max="3081" width="0" style="202" hidden="1" customWidth="1"/>
    <col min="3082" max="3083" width="9.33203125" style="202"/>
    <col min="3084" max="3084" width="15.83203125" style="202" customWidth="1"/>
    <col min="3085" max="3323" width="9.33203125" style="202"/>
    <col min="3324" max="3324" width="5" style="202" customWidth="1"/>
    <col min="3325" max="3325" width="9.33203125" style="202"/>
    <col min="3326" max="3326" width="21.6640625" style="202" customWidth="1"/>
    <col min="3327" max="3327" width="13.5" style="202" customWidth="1"/>
    <col min="3328" max="3328" width="10.5" style="202" customWidth="1"/>
    <col min="3329" max="3329" width="15.1640625" style="202" customWidth="1"/>
    <col min="3330" max="3330" width="3.6640625" style="202" customWidth="1"/>
    <col min="3331" max="3331" width="13.1640625" style="202" customWidth="1"/>
    <col min="3332" max="3332" width="3.83203125" style="202" customWidth="1"/>
    <col min="3333" max="3333" width="15" style="202" customWidth="1"/>
    <col min="3334" max="3334" width="3.6640625" style="202" customWidth="1"/>
    <col min="3335" max="3336" width="13" style="202" customWidth="1"/>
    <col min="3337" max="3337" width="0" style="202" hidden="1" customWidth="1"/>
    <col min="3338" max="3339" width="9.33203125" style="202"/>
    <col min="3340" max="3340" width="15.83203125" style="202" customWidth="1"/>
    <col min="3341" max="3579" width="9.33203125" style="202"/>
    <col min="3580" max="3580" width="5" style="202" customWidth="1"/>
    <col min="3581" max="3581" width="9.33203125" style="202"/>
    <col min="3582" max="3582" width="21.6640625" style="202" customWidth="1"/>
    <col min="3583" max="3583" width="13.5" style="202" customWidth="1"/>
    <col min="3584" max="3584" width="10.5" style="202" customWidth="1"/>
    <col min="3585" max="3585" width="15.1640625" style="202" customWidth="1"/>
    <col min="3586" max="3586" width="3.6640625" style="202" customWidth="1"/>
    <col min="3587" max="3587" width="13.1640625" style="202" customWidth="1"/>
    <col min="3588" max="3588" width="3.83203125" style="202" customWidth="1"/>
    <col min="3589" max="3589" width="15" style="202" customWidth="1"/>
    <col min="3590" max="3590" width="3.6640625" style="202" customWidth="1"/>
    <col min="3591" max="3592" width="13" style="202" customWidth="1"/>
    <col min="3593" max="3593" width="0" style="202" hidden="1" customWidth="1"/>
    <col min="3594" max="3595" width="9.33203125" style="202"/>
    <col min="3596" max="3596" width="15.83203125" style="202" customWidth="1"/>
    <col min="3597" max="3835" width="9.33203125" style="202"/>
    <col min="3836" max="3836" width="5" style="202" customWidth="1"/>
    <col min="3837" max="3837" width="9.33203125" style="202"/>
    <col min="3838" max="3838" width="21.6640625" style="202" customWidth="1"/>
    <col min="3839" max="3839" width="13.5" style="202" customWidth="1"/>
    <col min="3840" max="3840" width="10.5" style="202" customWidth="1"/>
    <col min="3841" max="3841" width="15.1640625" style="202" customWidth="1"/>
    <col min="3842" max="3842" width="3.6640625" style="202" customWidth="1"/>
    <col min="3843" max="3843" width="13.1640625" style="202" customWidth="1"/>
    <col min="3844" max="3844" width="3.83203125" style="202" customWidth="1"/>
    <col min="3845" max="3845" width="15" style="202" customWidth="1"/>
    <col min="3846" max="3846" width="3.6640625" style="202" customWidth="1"/>
    <col min="3847" max="3848" width="13" style="202" customWidth="1"/>
    <col min="3849" max="3849" width="0" style="202" hidden="1" customWidth="1"/>
    <col min="3850" max="3851" width="9.33203125" style="202"/>
    <col min="3852" max="3852" width="15.83203125" style="202" customWidth="1"/>
    <col min="3853" max="4091" width="9.33203125" style="202"/>
    <col min="4092" max="4092" width="5" style="202" customWidth="1"/>
    <col min="4093" max="4093" width="9.33203125" style="202"/>
    <col min="4094" max="4094" width="21.6640625" style="202" customWidth="1"/>
    <col min="4095" max="4095" width="13.5" style="202" customWidth="1"/>
    <col min="4096" max="4096" width="10.5" style="202" customWidth="1"/>
    <col min="4097" max="4097" width="15.1640625" style="202" customWidth="1"/>
    <col min="4098" max="4098" width="3.6640625" style="202" customWidth="1"/>
    <col min="4099" max="4099" width="13.1640625" style="202" customWidth="1"/>
    <col min="4100" max="4100" width="3.83203125" style="202" customWidth="1"/>
    <col min="4101" max="4101" width="15" style="202" customWidth="1"/>
    <col min="4102" max="4102" width="3.6640625" style="202" customWidth="1"/>
    <col min="4103" max="4104" width="13" style="202" customWidth="1"/>
    <col min="4105" max="4105" width="0" style="202" hidden="1" customWidth="1"/>
    <col min="4106" max="4107" width="9.33203125" style="202"/>
    <col min="4108" max="4108" width="15.83203125" style="202" customWidth="1"/>
    <col min="4109" max="4347" width="9.33203125" style="202"/>
    <col min="4348" max="4348" width="5" style="202" customWidth="1"/>
    <col min="4349" max="4349" width="9.33203125" style="202"/>
    <col min="4350" max="4350" width="21.6640625" style="202" customWidth="1"/>
    <col min="4351" max="4351" width="13.5" style="202" customWidth="1"/>
    <col min="4352" max="4352" width="10.5" style="202" customWidth="1"/>
    <col min="4353" max="4353" width="15.1640625" style="202" customWidth="1"/>
    <col min="4354" max="4354" width="3.6640625" style="202" customWidth="1"/>
    <col min="4355" max="4355" width="13.1640625" style="202" customWidth="1"/>
    <col min="4356" max="4356" width="3.83203125" style="202" customWidth="1"/>
    <col min="4357" max="4357" width="15" style="202" customWidth="1"/>
    <col min="4358" max="4358" width="3.6640625" style="202" customWidth="1"/>
    <col min="4359" max="4360" width="13" style="202" customWidth="1"/>
    <col min="4361" max="4361" width="0" style="202" hidden="1" customWidth="1"/>
    <col min="4362" max="4363" width="9.33203125" style="202"/>
    <col min="4364" max="4364" width="15.83203125" style="202" customWidth="1"/>
    <col min="4365" max="4603" width="9.33203125" style="202"/>
    <col min="4604" max="4604" width="5" style="202" customWidth="1"/>
    <col min="4605" max="4605" width="9.33203125" style="202"/>
    <col min="4606" max="4606" width="21.6640625" style="202" customWidth="1"/>
    <col min="4607" max="4607" width="13.5" style="202" customWidth="1"/>
    <col min="4608" max="4608" width="10.5" style="202" customWidth="1"/>
    <col min="4609" max="4609" width="15.1640625" style="202" customWidth="1"/>
    <col min="4610" max="4610" width="3.6640625" style="202" customWidth="1"/>
    <col min="4611" max="4611" width="13.1640625" style="202" customWidth="1"/>
    <col min="4612" max="4612" width="3.83203125" style="202" customWidth="1"/>
    <col min="4613" max="4613" width="15" style="202" customWidth="1"/>
    <col min="4614" max="4614" width="3.6640625" style="202" customWidth="1"/>
    <col min="4615" max="4616" width="13" style="202" customWidth="1"/>
    <col min="4617" max="4617" width="0" style="202" hidden="1" customWidth="1"/>
    <col min="4618" max="4619" width="9.33203125" style="202"/>
    <col min="4620" max="4620" width="15.83203125" style="202" customWidth="1"/>
    <col min="4621" max="4859" width="9.33203125" style="202"/>
    <col min="4860" max="4860" width="5" style="202" customWidth="1"/>
    <col min="4861" max="4861" width="9.33203125" style="202"/>
    <col min="4862" max="4862" width="21.6640625" style="202" customWidth="1"/>
    <col min="4863" max="4863" width="13.5" style="202" customWidth="1"/>
    <col min="4864" max="4864" width="10.5" style="202" customWidth="1"/>
    <col min="4865" max="4865" width="15.1640625" style="202" customWidth="1"/>
    <col min="4866" max="4866" width="3.6640625" style="202" customWidth="1"/>
    <col min="4867" max="4867" width="13.1640625" style="202" customWidth="1"/>
    <col min="4868" max="4868" width="3.83203125" style="202" customWidth="1"/>
    <col min="4869" max="4869" width="15" style="202" customWidth="1"/>
    <col min="4870" max="4870" width="3.6640625" style="202" customWidth="1"/>
    <col min="4871" max="4872" width="13" style="202" customWidth="1"/>
    <col min="4873" max="4873" width="0" style="202" hidden="1" customWidth="1"/>
    <col min="4874" max="4875" width="9.33203125" style="202"/>
    <col min="4876" max="4876" width="15.83203125" style="202" customWidth="1"/>
    <col min="4877" max="5115" width="9.33203125" style="202"/>
    <col min="5116" max="5116" width="5" style="202" customWidth="1"/>
    <col min="5117" max="5117" width="9.33203125" style="202"/>
    <col min="5118" max="5118" width="21.6640625" style="202" customWidth="1"/>
    <col min="5119" max="5119" width="13.5" style="202" customWidth="1"/>
    <col min="5120" max="5120" width="10.5" style="202" customWidth="1"/>
    <col min="5121" max="5121" width="15.1640625" style="202" customWidth="1"/>
    <col min="5122" max="5122" width="3.6640625" style="202" customWidth="1"/>
    <col min="5123" max="5123" width="13.1640625" style="202" customWidth="1"/>
    <col min="5124" max="5124" width="3.83203125" style="202" customWidth="1"/>
    <col min="5125" max="5125" width="15" style="202" customWidth="1"/>
    <col min="5126" max="5126" width="3.6640625" style="202" customWidth="1"/>
    <col min="5127" max="5128" width="13" style="202" customWidth="1"/>
    <col min="5129" max="5129" width="0" style="202" hidden="1" customWidth="1"/>
    <col min="5130" max="5131" width="9.33203125" style="202"/>
    <col min="5132" max="5132" width="15.83203125" style="202" customWidth="1"/>
    <col min="5133" max="5371" width="9.33203125" style="202"/>
    <col min="5372" max="5372" width="5" style="202" customWidth="1"/>
    <col min="5373" max="5373" width="9.33203125" style="202"/>
    <col min="5374" max="5374" width="21.6640625" style="202" customWidth="1"/>
    <col min="5375" max="5375" width="13.5" style="202" customWidth="1"/>
    <col min="5376" max="5376" width="10.5" style="202" customWidth="1"/>
    <col min="5377" max="5377" width="15.1640625" style="202" customWidth="1"/>
    <col min="5378" max="5378" width="3.6640625" style="202" customWidth="1"/>
    <col min="5379" max="5379" width="13.1640625" style="202" customWidth="1"/>
    <col min="5380" max="5380" width="3.83203125" style="202" customWidth="1"/>
    <col min="5381" max="5381" width="15" style="202" customWidth="1"/>
    <col min="5382" max="5382" width="3.6640625" style="202" customWidth="1"/>
    <col min="5383" max="5384" width="13" style="202" customWidth="1"/>
    <col min="5385" max="5385" width="0" style="202" hidden="1" customWidth="1"/>
    <col min="5386" max="5387" width="9.33203125" style="202"/>
    <col min="5388" max="5388" width="15.83203125" style="202" customWidth="1"/>
    <col min="5389" max="5627" width="9.33203125" style="202"/>
    <col min="5628" max="5628" width="5" style="202" customWidth="1"/>
    <col min="5629" max="5629" width="9.33203125" style="202"/>
    <col min="5630" max="5630" width="21.6640625" style="202" customWidth="1"/>
    <col min="5631" max="5631" width="13.5" style="202" customWidth="1"/>
    <col min="5632" max="5632" width="10.5" style="202" customWidth="1"/>
    <col min="5633" max="5633" width="15.1640625" style="202" customWidth="1"/>
    <col min="5634" max="5634" width="3.6640625" style="202" customWidth="1"/>
    <col min="5635" max="5635" width="13.1640625" style="202" customWidth="1"/>
    <col min="5636" max="5636" width="3.83203125" style="202" customWidth="1"/>
    <col min="5637" max="5637" width="15" style="202" customWidth="1"/>
    <col min="5638" max="5638" width="3.6640625" style="202" customWidth="1"/>
    <col min="5639" max="5640" width="13" style="202" customWidth="1"/>
    <col min="5641" max="5641" width="0" style="202" hidden="1" customWidth="1"/>
    <col min="5642" max="5643" width="9.33203125" style="202"/>
    <col min="5644" max="5644" width="15.83203125" style="202" customWidth="1"/>
    <col min="5645" max="5883" width="9.33203125" style="202"/>
    <col min="5884" max="5884" width="5" style="202" customWidth="1"/>
    <col min="5885" max="5885" width="9.33203125" style="202"/>
    <col min="5886" max="5886" width="21.6640625" style="202" customWidth="1"/>
    <col min="5887" max="5887" width="13.5" style="202" customWidth="1"/>
    <col min="5888" max="5888" width="10.5" style="202" customWidth="1"/>
    <col min="5889" max="5889" width="15.1640625" style="202" customWidth="1"/>
    <col min="5890" max="5890" width="3.6640625" style="202" customWidth="1"/>
    <col min="5891" max="5891" width="13.1640625" style="202" customWidth="1"/>
    <col min="5892" max="5892" width="3.83203125" style="202" customWidth="1"/>
    <col min="5893" max="5893" width="15" style="202" customWidth="1"/>
    <col min="5894" max="5894" width="3.6640625" style="202" customWidth="1"/>
    <col min="5895" max="5896" width="13" style="202" customWidth="1"/>
    <col min="5897" max="5897" width="0" style="202" hidden="1" customWidth="1"/>
    <col min="5898" max="5899" width="9.33203125" style="202"/>
    <col min="5900" max="5900" width="15.83203125" style="202" customWidth="1"/>
    <col min="5901" max="6139" width="9.33203125" style="202"/>
    <col min="6140" max="6140" width="5" style="202" customWidth="1"/>
    <col min="6141" max="6141" width="9.33203125" style="202"/>
    <col min="6142" max="6142" width="21.6640625" style="202" customWidth="1"/>
    <col min="6143" max="6143" width="13.5" style="202" customWidth="1"/>
    <col min="6144" max="6144" width="10.5" style="202" customWidth="1"/>
    <col min="6145" max="6145" width="15.1640625" style="202" customWidth="1"/>
    <col min="6146" max="6146" width="3.6640625" style="202" customWidth="1"/>
    <col min="6147" max="6147" width="13.1640625" style="202" customWidth="1"/>
    <col min="6148" max="6148" width="3.83203125" style="202" customWidth="1"/>
    <col min="6149" max="6149" width="15" style="202" customWidth="1"/>
    <col min="6150" max="6150" width="3.6640625" style="202" customWidth="1"/>
    <col min="6151" max="6152" width="13" style="202" customWidth="1"/>
    <col min="6153" max="6153" width="0" style="202" hidden="1" customWidth="1"/>
    <col min="6154" max="6155" width="9.33203125" style="202"/>
    <col min="6156" max="6156" width="15.83203125" style="202" customWidth="1"/>
    <col min="6157" max="6395" width="9.33203125" style="202"/>
    <col min="6396" max="6396" width="5" style="202" customWidth="1"/>
    <col min="6397" max="6397" width="9.33203125" style="202"/>
    <col min="6398" max="6398" width="21.6640625" style="202" customWidth="1"/>
    <col min="6399" max="6399" width="13.5" style="202" customWidth="1"/>
    <col min="6400" max="6400" width="10.5" style="202" customWidth="1"/>
    <col min="6401" max="6401" width="15.1640625" style="202" customWidth="1"/>
    <col min="6402" max="6402" width="3.6640625" style="202" customWidth="1"/>
    <col min="6403" max="6403" width="13.1640625" style="202" customWidth="1"/>
    <col min="6404" max="6404" width="3.83203125" style="202" customWidth="1"/>
    <col min="6405" max="6405" width="15" style="202" customWidth="1"/>
    <col min="6406" max="6406" width="3.6640625" style="202" customWidth="1"/>
    <col min="6407" max="6408" width="13" style="202" customWidth="1"/>
    <col min="6409" max="6409" width="0" style="202" hidden="1" customWidth="1"/>
    <col min="6410" max="6411" width="9.33203125" style="202"/>
    <col min="6412" max="6412" width="15.83203125" style="202" customWidth="1"/>
    <col min="6413" max="6651" width="9.33203125" style="202"/>
    <col min="6652" max="6652" width="5" style="202" customWidth="1"/>
    <col min="6653" max="6653" width="9.33203125" style="202"/>
    <col min="6654" max="6654" width="21.6640625" style="202" customWidth="1"/>
    <col min="6655" max="6655" width="13.5" style="202" customWidth="1"/>
    <col min="6656" max="6656" width="10.5" style="202" customWidth="1"/>
    <col min="6657" max="6657" width="15.1640625" style="202" customWidth="1"/>
    <col min="6658" max="6658" width="3.6640625" style="202" customWidth="1"/>
    <col min="6659" max="6659" width="13.1640625" style="202" customWidth="1"/>
    <col min="6660" max="6660" width="3.83203125" style="202" customWidth="1"/>
    <col min="6661" max="6661" width="15" style="202" customWidth="1"/>
    <col min="6662" max="6662" width="3.6640625" style="202" customWidth="1"/>
    <col min="6663" max="6664" width="13" style="202" customWidth="1"/>
    <col min="6665" max="6665" width="0" style="202" hidden="1" customWidth="1"/>
    <col min="6666" max="6667" width="9.33203125" style="202"/>
    <col min="6668" max="6668" width="15.83203125" style="202" customWidth="1"/>
    <col min="6669" max="6907" width="9.33203125" style="202"/>
    <col min="6908" max="6908" width="5" style="202" customWidth="1"/>
    <col min="6909" max="6909" width="9.33203125" style="202"/>
    <col min="6910" max="6910" width="21.6640625" style="202" customWidth="1"/>
    <col min="6911" max="6911" width="13.5" style="202" customWidth="1"/>
    <col min="6912" max="6912" width="10.5" style="202" customWidth="1"/>
    <col min="6913" max="6913" width="15.1640625" style="202" customWidth="1"/>
    <col min="6914" max="6914" width="3.6640625" style="202" customWidth="1"/>
    <col min="6915" max="6915" width="13.1640625" style="202" customWidth="1"/>
    <col min="6916" max="6916" width="3.83203125" style="202" customWidth="1"/>
    <col min="6917" max="6917" width="15" style="202" customWidth="1"/>
    <col min="6918" max="6918" width="3.6640625" style="202" customWidth="1"/>
    <col min="6919" max="6920" width="13" style="202" customWidth="1"/>
    <col min="6921" max="6921" width="0" style="202" hidden="1" customWidth="1"/>
    <col min="6922" max="6923" width="9.33203125" style="202"/>
    <col min="6924" max="6924" width="15.83203125" style="202" customWidth="1"/>
    <col min="6925" max="7163" width="9.33203125" style="202"/>
    <col min="7164" max="7164" width="5" style="202" customWidth="1"/>
    <col min="7165" max="7165" width="9.33203125" style="202"/>
    <col min="7166" max="7166" width="21.6640625" style="202" customWidth="1"/>
    <col min="7167" max="7167" width="13.5" style="202" customWidth="1"/>
    <col min="7168" max="7168" width="10.5" style="202" customWidth="1"/>
    <col min="7169" max="7169" width="15.1640625" style="202" customWidth="1"/>
    <col min="7170" max="7170" width="3.6640625" style="202" customWidth="1"/>
    <col min="7171" max="7171" width="13.1640625" style="202" customWidth="1"/>
    <col min="7172" max="7172" width="3.83203125" style="202" customWidth="1"/>
    <col min="7173" max="7173" width="15" style="202" customWidth="1"/>
    <col min="7174" max="7174" width="3.6640625" style="202" customWidth="1"/>
    <col min="7175" max="7176" width="13" style="202" customWidth="1"/>
    <col min="7177" max="7177" width="0" style="202" hidden="1" customWidth="1"/>
    <col min="7178" max="7179" width="9.33203125" style="202"/>
    <col min="7180" max="7180" width="15.83203125" style="202" customWidth="1"/>
    <col min="7181" max="7419" width="9.33203125" style="202"/>
    <col min="7420" max="7420" width="5" style="202" customWidth="1"/>
    <col min="7421" max="7421" width="9.33203125" style="202"/>
    <col min="7422" max="7422" width="21.6640625" style="202" customWidth="1"/>
    <col min="7423" max="7423" width="13.5" style="202" customWidth="1"/>
    <col min="7424" max="7424" width="10.5" style="202" customWidth="1"/>
    <col min="7425" max="7425" width="15.1640625" style="202" customWidth="1"/>
    <col min="7426" max="7426" width="3.6640625" style="202" customWidth="1"/>
    <col min="7427" max="7427" width="13.1640625" style="202" customWidth="1"/>
    <col min="7428" max="7428" width="3.83203125" style="202" customWidth="1"/>
    <col min="7429" max="7429" width="15" style="202" customWidth="1"/>
    <col min="7430" max="7430" width="3.6640625" style="202" customWidth="1"/>
    <col min="7431" max="7432" width="13" style="202" customWidth="1"/>
    <col min="7433" max="7433" width="0" style="202" hidden="1" customWidth="1"/>
    <col min="7434" max="7435" width="9.33203125" style="202"/>
    <col min="7436" max="7436" width="15.83203125" style="202" customWidth="1"/>
    <col min="7437" max="7675" width="9.33203125" style="202"/>
    <col min="7676" max="7676" width="5" style="202" customWidth="1"/>
    <col min="7677" max="7677" width="9.33203125" style="202"/>
    <col min="7678" max="7678" width="21.6640625" style="202" customWidth="1"/>
    <col min="7679" max="7679" width="13.5" style="202" customWidth="1"/>
    <col min="7680" max="7680" width="10.5" style="202" customWidth="1"/>
    <col min="7681" max="7681" width="15.1640625" style="202" customWidth="1"/>
    <col min="7682" max="7682" width="3.6640625" style="202" customWidth="1"/>
    <col min="7683" max="7683" width="13.1640625" style="202" customWidth="1"/>
    <col min="7684" max="7684" width="3.83203125" style="202" customWidth="1"/>
    <col min="7685" max="7685" width="15" style="202" customWidth="1"/>
    <col min="7686" max="7686" width="3.6640625" style="202" customWidth="1"/>
    <col min="7687" max="7688" width="13" style="202" customWidth="1"/>
    <col min="7689" max="7689" width="0" style="202" hidden="1" customWidth="1"/>
    <col min="7690" max="7691" width="9.33203125" style="202"/>
    <col min="7692" max="7692" width="15.83203125" style="202" customWidth="1"/>
    <col min="7693" max="7931" width="9.33203125" style="202"/>
    <col min="7932" max="7932" width="5" style="202" customWidth="1"/>
    <col min="7933" max="7933" width="9.33203125" style="202"/>
    <col min="7934" max="7934" width="21.6640625" style="202" customWidth="1"/>
    <col min="7935" max="7935" width="13.5" style="202" customWidth="1"/>
    <col min="7936" max="7936" width="10.5" style="202" customWidth="1"/>
    <col min="7937" max="7937" width="15.1640625" style="202" customWidth="1"/>
    <col min="7938" max="7938" width="3.6640625" style="202" customWidth="1"/>
    <col min="7939" max="7939" width="13.1640625" style="202" customWidth="1"/>
    <col min="7940" max="7940" width="3.83203125" style="202" customWidth="1"/>
    <col min="7941" max="7941" width="15" style="202" customWidth="1"/>
    <col min="7942" max="7942" width="3.6640625" style="202" customWidth="1"/>
    <col min="7943" max="7944" width="13" style="202" customWidth="1"/>
    <col min="7945" max="7945" width="0" style="202" hidden="1" customWidth="1"/>
    <col min="7946" max="7947" width="9.33203125" style="202"/>
    <col min="7948" max="7948" width="15.83203125" style="202" customWidth="1"/>
    <col min="7949" max="8187" width="9.33203125" style="202"/>
    <col min="8188" max="8188" width="5" style="202" customWidth="1"/>
    <col min="8189" max="8189" width="9.33203125" style="202"/>
    <col min="8190" max="8190" width="21.6640625" style="202" customWidth="1"/>
    <col min="8191" max="8191" width="13.5" style="202" customWidth="1"/>
    <col min="8192" max="8192" width="10.5" style="202" customWidth="1"/>
    <col min="8193" max="8193" width="15.1640625" style="202" customWidth="1"/>
    <col min="8194" max="8194" width="3.6640625" style="202" customWidth="1"/>
    <col min="8195" max="8195" width="13.1640625" style="202" customWidth="1"/>
    <col min="8196" max="8196" width="3.83203125" style="202" customWidth="1"/>
    <col min="8197" max="8197" width="15" style="202" customWidth="1"/>
    <col min="8198" max="8198" width="3.6640625" style="202" customWidth="1"/>
    <col min="8199" max="8200" width="13" style="202" customWidth="1"/>
    <col min="8201" max="8201" width="0" style="202" hidden="1" customWidth="1"/>
    <col min="8202" max="8203" width="9.33203125" style="202"/>
    <col min="8204" max="8204" width="15.83203125" style="202" customWidth="1"/>
    <col min="8205" max="8443" width="9.33203125" style="202"/>
    <col min="8444" max="8444" width="5" style="202" customWidth="1"/>
    <col min="8445" max="8445" width="9.33203125" style="202"/>
    <col min="8446" max="8446" width="21.6640625" style="202" customWidth="1"/>
    <col min="8447" max="8447" width="13.5" style="202" customWidth="1"/>
    <col min="8448" max="8448" width="10.5" style="202" customWidth="1"/>
    <col min="8449" max="8449" width="15.1640625" style="202" customWidth="1"/>
    <col min="8450" max="8450" width="3.6640625" style="202" customWidth="1"/>
    <col min="8451" max="8451" width="13.1640625" style="202" customWidth="1"/>
    <col min="8452" max="8452" width="3.83203125" style="202" customWidth="1"/>
    <col min="8453" max="8453" width="15" style="202" customWidth="1"/>
    <col min="8454" max="8454" width="3.6640625" style="202" customWidth="1"/>
    <col min="8455" max="8456" width="13" style="202" customWidth="1"/>
    <col min="8457" max="8457" width="0" style="202" hidden="1" customWidth="1"/>
    <col min="8458" max="8459" width="9.33203125" style="202"/>
    <col min="8460" max="8460" width="15.83203125" style="202" customWidth="1"/>
    <col min="8461" max="8699" width="9.33203125" style="202"/>
    <col min="8700" max="8700" width="5" style="202" customWidth="1"/>
    <col min="8701" max="8701" width="9.33203125" style="202"/>
    <col min="8702" max="8702" width="21.6640625" style="202" customWidth="1"/>
    <col min="8703" max="8703" width="13.5" style="202" customWidth="1"/>
    <col min="8704" max="8704" width="10.5" style="202" customWidth="1"/>
    <col min="8705" max="8705" width="15.1640625" style="202" customWidth="1"/>
    <col min="8706" max="8706" width="3.6640625" style="202" customWidth="1"/>
    <col min="8707" max="8707" width="13.1640625" style="202" customWidth="1"/>
    <col min="8708" max="8708" width="3.83203125" style="202" customWidth="1"/>
    <col min="8709" max="8709" width="15" style="202" customWidth="1"/>
    <col min="8710" max="8710" width="3.6640625" style="202" customWidth="1"/>
    <col min="8711" max="8712" width="13" style="202" customWidth="1"/>
    <col min="8713" max="8713" width="0" style="202" hidden="1" customWidth="1"/>
    <col min="8714" max="8715" width="9.33203125" style="202"/>
    <col min="8716" max="8716" width="15.83203125" style="202" customWidth="1"/>
    <col min="8717" max="8955" width="9.33203125" style="202"/>
    <col min="8956" max="8956" width="5" style="202" customWidth="1"/>
    <col min="8957" max="8957" width="9.33203125" style="202"/>
    <col min="8958" max="8958" width="21.6640625" style="202" customWidth="1"/>
    <col min="8959" max="8959" width="13.5" style="202" customWidth="1"/>
    <col min="8960" max="8960" width="10.5" style="202" customWidth="1"/>
    <col min="8961" max="8961" width="15.1640625" style="202" customWidth="1"/>
    <col min="8962" max="8962" width="3.6640625" style="202" customWidth="1"/>
    <col min="8963" max="8963" width="13.1640625" style="202" customWidth="1"/>
    <col min="8964" max="8964" width="3.83203125" style="202" customWidth="1"/>
    <col min="8965" max="8965" width="15" style="202" customWidth="1"/>
    <col min="8966" max="8966" width="3.6640625" style="202" customWidth="1"/>
    <col min="8967" max="8968" width="13" style="202" customWidth="1"/>
    <col min="8969" max="8969" width="0" style="202" hidden="1" customWidth="1"/>
    <col min="8970" max="8971" width="9.33203125" style="202"/>
    <col min="8972" max="8972" width="15.83203125" style="202" customWidth="1"/>
    <col min="8973" max="9211" width="9.33203125" style="202"/>
    <col min="9212" max="9212" width="5" style="202" customWidth="1"/>
    <col min="9213" max="9213" width="9.33203125" style="202"/>
    <col min="9214" max="9214" width="21.6640625" style="202" customWidth="1"/>
    <col min="9215" max="9215" width="13.5" style="202" customWidth="1"/>
    <col min="9216" max="9216" width="10.5" style="202" customWidth="1"/>
    <col min="9217" max="9217" width="15.1640625" style="202" customWidth="1"/>
    <col min="9218" max="9218" width="3.6640625" style="202" customWidth="1"/>
    <col min="9219" max="9219" width="13.1640625" style="202" customWidth="1"/>
    <col min="9220" max="9220" width="3.83203125" style="202" customWidth="1"/>
    <col min="9221" max="9221" width="15" style="202" customWidth="1"/>
    <col min="9222" max="9222" width="3.6640625" style="202" customWidth="1"/>
    <col min="9223" max="9224" width="13" style="202" customWidth="1"/>
    <col min="9225" max="9225" width="0" style="202" hidden="1" customWidth="1"/>
    <col min="9226" max="9227" width="9.33203125" style="202"/>
    <col min="9228" max="9228" width="15.83203125" style="202" customWidth="1"/>
    <col min="9229" max="9467" width="9.33203125" style="202"/>
    <col min="9468" max="9468" width="5" style="202" customWidth="1"/>
    <col min="9469" max="9469" width="9.33203125" style="202"/>
    <col min="9470" max="9470" width="21.6640625" style="202" customWidth="1"/>
    <col min="9471" max="9471" width="13.5" style="202" customWidth="1"/>
    <col min="9472" max="9472" width="10.5" style="202" customWidth="1"/>
    <col min="9473" max="9473" width="15.1640625" style="202" customWidth="1"/>
    <col min="9474" max="9474" width="3.6640625" style="202" customWidth="1"/>
    <col min="9475" max="9475" width="13.1640625" style="202" customWidth="1"/>
    <col min="9476" max="9476" width="3.83203125" style="202" customWidth="1"/>
    <col min="9477" max="9477" width="15" style="202" customWidth="1"/>
    <col min="9478" max="9478" width="3.6640625" style="202" customWidth="1"/>
    <col min="9479" max="9480" width="13" style="202" customWidth="1"/>
    <col min="9481" max="9481" width="0" style="202" hidden="1" customWidth="1"/>
    <col min="9482" max="9483" width="9.33203125" style="202"/>
    <col min="9484" max="9484" width="15.83203125" style="202" customWidth="1"/>
    <col min="9485" max="9723" width="9.33203125" style="202"/>
    <col min="9724" max="9724" width="5" style="202" customWidth="1"/>
    <col min="9725" max="9725" width="9.33203125" style="202"/>
    <col min="9726" max="9726" width="21.6640625" style="202" customWidth="1"/>
    <col min="9727" max="9727" width="13.5" style="202" customWidth="1"/>
    <col min="9728" max="9728" width="10.5" style="202" customWidth="1"/>
    <col min="9729" max="9729" width="15.1640625" style="202" customWidth="1"/>
    <col min="9730" max="9730" width="3.6640625" style="202" customWidth="1"/>
    <col min="9731" max="9731" width="13.1640625" style="202" customWidth="1"/>
    <col min="9732" max="9732" width="3.83203125" style="202" customWidth="1"/>
    <col min="9733" max="9733" width="15" style="202" customWidth="1"/>
    <col min="9734" max="9734" width="3.6640625" style="202" customWidth="1"/>
    <col min="9735" max="9736" width="13" style="202" customWidth="1"/>
    <col min="9737" max="9737" width="0" style="202" hidden="1" customWidth="1"/>
    <col min="9738" max="9739" width="9.33203125" style="202"/>
    <col min="9740" max="9740" width="15.83203125" style="202" customWidth="1"/>
    <col min="9741" max="9979" width="9.33203125" style="202"/>
    <col min="9980" max="9980" width="5" style="202" customWidth="1"/>
    <col min="9981" max="9981" width="9.33203125" style="202"/>
    <col min="9982" max="9982" width="21.6640625" style="202" customWidth="1"/>
    <col min="9983" max="9983" width="13.5" style="202" customWidth="1"/>
    <col min="9984" max="9984" width="10.5" style="202" customWidth="1"/>
    <col min="9985" max="9985" width="15.1640625" style="202" customWidth="1"/>
    <col min="9986" max="9986" width="3.6640625" style="202" customWidth="1"/>
    <col min="9987" max="9987" width="13.1640625" style="202" customWidth="1"/>
    <col min="9988" max="9988" width="3.83203125" style="202" customWidth="1"/>
    <col min="9989" max="9989" width="15" style="202" customWidth="1"/>
    <col min="9990" max="9990" width="3.6640625" style="202" customWidth="1"/>
    <col min="9991" max="9992" width="13" style="202" customWidth="1"/>
    <col min="9993" max="9993" width="0" style="202" hidden="1" customWidth="1"/>
    <col min="9994" max="9995" width="9.33203125" style="202"/>
    <col min="9996" max="9996" width="15.83203125" style="202" customWidth="1"/>
    <col min="9997" max="10235" width="9.33203125" style="202"/>
    <col min="10236" max="10236" width="5" style="202" customWidth="1"/>
    <col min="10237" max="10237" width="9.33203125" style="202"/>
    <col min="10238" max="10238" width="21.6640625" style="202" customWidth="1"/>
    <col min="10239" max="10239" width="13.5" style="202" customWidth="1"/>
    <col min="10240" max="10240" width="10.5" style="202" customWidth="1"/>
    <col min="10241" max="10241" width="15.1640625" style="202" customWidth="1"/>
    <col min="10242" max="10242" width="3.6640625" style="202" customWidth="1"/>
    <col min="10243" max="10243" width="13.1640625" style="202" customWidth="1"/>
    <col min="10244" max="10244" width="3.83203125" style="202" customWidth="1"/>
    <col min="10245" max="10245" width="15" style="202" customWidth="1"/>
    <col min="10246" max="10246" width="3.6640625" style="202" customWidth="1"/>
    <col min="10247" max="10248" width="13" style="202" customWidth="1"/>
    <col min="10249" max="10249" width="0" style="202" hidden="1" customWidth="1"/>
    <col min="10250" max="10251" width="9.33203125" style="202"/>
    <col min="10252" max="10252" width="15.83203125" style="202" customWidth="1"/>
    <col min="10253" max="10491" width="9.33203125" style="202"/>
    <col min="10492" max="10492" width="5" style="202" customWidth="1"/>
    <col min="10493" max="10493" width="9.33203125" style="202"/>
    <col min="10494" max="10494" width="21.6640625" style="202" customWidth="1"/>
    <col min="10495" max="10495" width="13.5" style="202" customWidth="1"/>
    <col min="10496" max="10496" width="10.5" style="202" customWidth="1"/>
    <col min="10497" max="10497" width="15.1640625" style="202" customWidth="1"/>
    <col min="10498" max="10498" width="3.6640625" style="202" customWidth="1"/>
    <col min="10499" max="10499" width="13.1640625" style="202" customWidth="1"/>
    <col min="10500" max="10500" width="3.83203125" style="202" customWidth="1"/>
    <col min="10501" max="10501" width="15" style="202" customWidth="1"/>
    <col min="10502" max="10502" width="3.6640625" style="202" customWidth="1"/>
    <col min="10503" max="10504" width="13" style="202" customWidth="1"/>
    <col min="10505" max="10505" width="0" style="202" hidden="1" customWidth="1"/>
    <col min="10506" max="10507" width="9.33203125" style="202"/>
    <col min="10508" max="10508" width="15.83203125" style="202" customWidth="1"/>
    <col min="10509" max="10747" width="9.33203125" style="202"/>
    <col min="10748" max="10748" width="5" style="202" customWidth="1"/>
    <col min="10749" max="10749" width="9.33203125" style="202"/>
    <col min="10750" max="10750" width="21.6640625" style="202" customWidth="1"/>
    <col min="10751" max="10751" width="13.5" style="202" customWidth="1"/>
    <col min="10752" max="10752" width="10.5" style="202" customWidth="1"/>
    <col min="10753" max="10753" width="15.1640625" style="202" customWidth="1"/>
    <col min="10754" max="10754" width="3.6640625" style="202" customWidth="1"/>
    <col min="10755" max="10755" width="13.1640625" style="202" customWidth="1"/>
    <col min="10756" max="10756" width="3.83203125" style="202" customWidth="1"/>
    <col min="10757" max="10757" width="15" style="202" customWidth="1"/>
    <col min="10758" max="10758" width="3.6640625" style="202" customWidth="1"/>
    <col min="10759" max="10760" width="13" style="202" customWidth="1"/>
    <col min="10761" max="10761" width="0" style="202" hidden="1" customWidth="1"/>
    <col min="10762" max="10763" width="9.33203125" style="202"/>
    <col min="10764" max="10764" width="15.83203125" style="202" customWidth="1"/>
    <col min="10765" max="11003" width="9.33203125" style="202"/>
    <col min="11004" max="11004" width="5" style="202" customWidth="1"/>
    <col min="11005" max="11005" width="9.33203125" style="202"/>
    <col min="11006" max="11006" width="21.6640625" style="202" customWidth="1"/>
    <col min="11007" max="11007" width="13.5" style="202" customWidth="1"/>
    <col min="11008" max="11008" width="10.5" style="202" customWidth="1"/>
    <col min="11009" max="11009" width="15.1640625" style="202" customWidth="1"/>
    <col min="11010" max="11010" width="3.6640625" style="202" customWidth="1"/>
    <col min="11011" max="11011" width="13.1640625" style="202" customWidth="1"/>
    <col min="11012" max="11012" width="3.83203125" style="202" customWidth="1"/>
    <col min="11013" max="11013" width="15" style="202" customWidth="1"/>
    <col min="11014" max="11014" width="3.6640625" style="202" customWidth="1"/>
    <col min="11015" max="11016" width="13" style="202" customWidth="1"/>
    <col min="11017" max="11017" width="0" style="202" hidden="1" customWidth="1"/>
    <col min="11018" max="11019" width="9.33203125" style="202"/>
    <col min="11020" max="11020" width="15.83203125" style="202" customWidth="1"/>
    <col min="11021" max="11259" width="9.33203125" style="202"/>
    <col min="11260" max="11260" width="5" style="202" customWidth="1"/>
    <col min="11261" max="11261" width="9.33203125" style="202"/>
    <col min="11262" max="11262" width="21.6640625" style="202" customWidth="1"/>
    <col min="11263" max="11263" width="13.5" style="202" customWidth="1"/>
    <col min="11264" max="11264" width="10.5" style="202" customWidth="1"/>
    <col min="11265" max="11265" width="15.1640625" style="202" customWidth="1"/>
    <col min="11266" max="11266" width="3.6640625" style="202" customWidth="1"/>
    <col min="11267" max="11267" width="13.1640625" style="202" customWidth="1"/>
    <col min="11268" max="11268" width="3.83203125" style="202" customWidth="1"/>
    <col min="11269" max="11269" width="15" style="202" customWidth="1"/>
    <col min="11270" max="11270" width="3.6640625" style="202" customWidth="1"/>
    <col min="11271" max="11272" width="13" style="202" customWidth="1"/>
    <col min="11273" max="11273" width="0" style="202" hidden="1" customWidth="1"/>
    <col min="11274" max="11275" width="9.33203125" style="202"/>
    <col min="11276" max="11276" width="15.83203125" style="202" customWidth="1"/>
    <col min="11277" max="11515" width="9.33203125" style="202"/>
    <col min="11516" max="11516" width="5" style="202" customWidth="1"/>
    <col min="11517" max="11517" width="9.33203125" style="202"/>
    <col min="11518" max="11518" width="21.6640625" style="202" customWidth="1"/>
    <col min="11519" max="11519" width="13.5" style="202" customWidth="1"/>
    <col min="11520" max="11520" width="10.5" style="202" customWidth="1"/>
    <col min="11521" max="11521" width="15.1640625" style="202" customWidth="1"/>
    <col min="11522" max="11522" width="3.6640625" style="202" customWidth="1"/>
    <col min="11523" max="11523" width="13.1640625" style="202" customWidth="1"/>
    <col min="11524" max="11524" width="3.83203125" style="202" customWidth="1"/>
    <col min="11525" max="11525" width="15" style="202" customWidth="1"/>
    <col min="11526" max="11526" width="3.6640625" style="202" customWidth="1"/>
    <col min="11527" max="11528" width="13" style="202" customWidth="1"/>
    <col min="11529" max="11529" width="0" style="202" hidden="1" customWidth="1"/>
    <col min="11530" max="11531" width="9.33203125" style="202"/>
    <col min="11532" max="11532" width="15.83203125" style="202" customWidth="1"/>
    <col min="11533" max="11771" width="9.33203125" style="202"/>
    <col min="11772" max="11772" width="5" style="202" customWidth="1"/>
    <col min="11773" max="11773" width="9.33203125" style="202"/>
    <col min="11774" max="11774" width="21.6640625" style="202" customWidth="1"/>
    <col min="11775" max="11775" width="13.5" style="202" customWidth="1"/>
    <col min="11776" max="11776" width="10.5" style="202" customWidth="1"/>
    <col min="11777" max="11777" width="15.1640625" style="202" customWidth="1"/>
    <col min="11778" max="11778" width="3.6640625" style="202" customWidth="1"/>
    <col min="11779" max="11779" width="13.1640625" style="202" customWidth="1"/>
    <col min="11780" max="11780" width="3.83203125" style="202" customWidth="1"/>
    <col min="11781" max="11781" width="15" style="202" customWidth="1"/>
    <col min="11782" max="11782" width="3.6640625" style="202" customWidth="1"/>
    <col min="11783" max="11784" width="13" style="202" customWidth="1"/>
    <col min="11785" max="11785" width="0" style="202" hidden="1" customWidth="1"/>
    <col min="11786" max="11787" width="9.33203125" style="202"/>
    <col min="11788" max="11788" width="15.83203125" style="202" customWidth="1"/>
    <col min="11789" max="12027" width="9.33203125" style="202"/>
    <col min="12028" max="12028" width="5" style="202" customWidth="1"/>
    <col min="12029" max="12029" width="9.33203125" style="202"/>
    <col min="12030" max="12030" width="21.6640625" style="202" customWidth="1"/>
    <col min="12031" max="12031" width="13.5" style="202" customWidth="1"/>
    <col min="12032" max="12032" width="10.5" style="202" customWidth="1"/>
    <col min="12033" max="12033" width="15.1640625" style="202" customWidth="1"/>
    <col min="12034" max="12034" width="3.6640625" style="202" customWidth="1"/>
    <col min="12035" max="12035" width="13.1640625" style="202" customWidth="1"/>
    <col min="12036" max="12036" width="3.83203125" style="202" customWidth="1"/>
    <col min="12037" max="12037" width="15" style="202" customWidth="1"/>
    <col min="12038" max="12038" width="3.6640625" style="202" customWidth="1"/>
    <col min="12039" max="12040" width="13" style="202" customWidth="1"/>
    <col min="12041" max="12041" width="0" style="202" hidden="1" customWidth="1"/>
    <col min="12042" max="12043" width="9.33203125" style="202"/>
    <col min="12044" max="12044" width="15.83203125" style="202" customWidth="1"/>
    <col min="12045" max="12283" width="9.33203125" style="202"/>
    <col min="12284" max="12284" width="5" style="202" customWidth="1"/>
    <col min="12285" max="12285" width="9.33203125" style="202"/>
    <col min="12286" max="12286" width="21.6640625" style="202" customWidth="1"/>
    <col min="12287" max="12287" width="13.5" style="202" customWidth="1"/>
    <col min="12288" max="12288" width="10.5" style="202" customWidth="1"/>
    <col min="12289" max="12289" width="15.1640625" style="202" customWidth="1"/>
    <col min="12290" max="12290" width="3.6640625" style="202" customWidth="1"/>
    <col min="12291" max="12291" width="13.1640625" style="202" customWidth="1"/>
    <col min="12292" max="12292" width="3.83203125" style="202" customWidth="1"/>
    <col min="12293" max="12293" width="15" style="202" customWidth="1"/>
    <col min="12294" max="12294" width="3.6640625" style="202" customWidth="1"/>
    <col min="12295" max="12296" width="13" style="202" customWidth="1"/>
    <col min="12297" max="12297" width="0" style="202" hidden="1" customWidth="1"/>
    <col min="12298" max="12299" width="9.33203125" style="202"/>
    <col min="12300" max="12300" width="15.83203125" style="202" customWidth="1"/>
    <col min="12301" max="12539" width="9.33203125" style="202"/>
    <col min="12540" max="12540" width="5" style="202" customWidth="1"/>
    <col min="12541" max="12541" width="9.33203125" style="202"/>
    <col min="12542" max="12542" width="21.6640625" style="202" customWidth="1"/>
    <col min="12543" max="12543" width="13.5" style="202" customWidth="1"/>
    <col min="12544" max="12544" width="10.5" style="202" customWidth="1"/>
    <col min="12545" max="12545" width="15.1640625" style="202" customWidth="1"/>
    <col min="12546" max="12546" width="3.6640625" style="202" customWidth="1"/>
    <col min="12547" max="12547" width="13.1640625" style="202" customWidth="1"/>
    <col min="12548" max="12548" width="3.83203125" style="202" customWidth="1"/>
    <col min="12549" max="12549" width="15" style="202" customWidth="1"/>
    <col min="12550" max="12550" width="3.6640625" style="202" customWidth="1"/>
    <col min="12551" max="12552" width="13" style="202" customWidth="1"/>
    <col min="12553" max="12553" width="0" style="202" hidden="1" customWidth="1"/>
    <col min="12554" max="12555" width="9.33203125" style="202"/>
    <col min="12556" max="12556" width="15.83203125" style="202" customWidth="1"/>
    <col min="12557" max="12795" width="9.33203125" style="202"/>
    <col min="12796" max="12796" width="5" style="202" customWidth="1"/>
    <col min="12797" max="12797" width="9.33203125" style="202"/>
    <col min="12798" max="12798" width="21.6640625" style="202" customWidth="1"/>
    <col min="12799" max="12799" width="13.5" style="202" customWidth="1"/>
    <col min="12800" max="12800" width="10.5" style="202" customWidth="1"/>
    <col min="12801" max="12801" width="15.1640625" style="202" customWidth="1"/>
    <col min="12802" max="12802" width="3.6640625" style="202" customWidth="1"/>
    <col min="12803" max="12803" width="13.1640625" style="202" customWidth="1"/>
    <col min="12804" max="12804" width="3.83203125" style="202" customWidth="1"/>
    <col min="12805" max="12805" width="15" style="202" customWidth="1"/>
    <col min="12806" max="12806" width="3.6640625" style="202" customWidth="1"/>
    <col min="12807" max="12808" width="13" style="202" customWidth="1"/>
    <col min="12809" max="12809" width="0" style="202" hidden="1" customWidth="1"/>
    <col min="12810" max="12811" width="9.33203125" style="202"/>
    <col min="12812" max="12812" width="15.83203125" style="202" customWidth="1"/>
    <col min="12813" max="13051" width="9.33203125" style="202"/>
    <col min="13052" max="13052" width="5" style="202" customWidth="1"/>
    <col min="13053" max="13053" width="9.33203125" style="202"/>
    <col min="13054" max="13054" width="21.6640625" style="202" customWidth="1"/>
    <col min="13055" max="13055" width="13.5" style="202" customWidth="1"/>
    <col min="13056" max="13056" width="10.5" style="202" customWidth="1"/>
    <col min="13057" max="13057" width="15.1640625" style="202" customWidth="1"/>
    <col min="13058" max="13058" width="3.6640625" style="202" customWidth="1"/>
    <col min="13059" max="13059" width="13.1640625" style="202" customWidth="1"/>
    <col min="13060" max="13060" width="3.83203125" style="202" customWidth="1"/>
    <col min="13061" max="13061" width="15" style="202" customWidth="1"/>
    <col min="13062" max="13062" width="3.6640625" style="202" customWidth="1"/>
    <col min="13063" max="13064" width="13" style="202" customWidth="1"/>
    <col min="13065" max="13065" width="0" style="202" hidden="1" customWidth="1"/>
    <col min="13066" max="13067" width="9.33203125" style="202"/>
    <col min="13068" max="13068" width="15.83203125" style="202" customWidth="1"/>
    <col min="13069" max="13307" width="9.33203125" style="202"/>
    <col min="13308" max="13308" width="5" style="202" customWidth="1"/>
    <col min="13309" max="13309" width="9.33203125" style="202"/>
    <col min="13310" max="13310" width="21.6640625" style="202" customWidth="1"/>
    <col min="13311" max="13311" width="13.5" style="202" customWidth="1"/>
    <col min="13312" max="13312" width="10.5" style="202" customWidth="1"/>
    <col min="13313" max="13313" width="15.1640625" style="202" customWidth="1"/>
    <col min="13314" max="13314" width="3.6640625" style="202" customWidth="1"/>
    <col min="13315" max="13315" width="13.1640625" style="202" customWidth="1"/>
    <col min="13316" max="13316" width="3.83203125" style="202" customWidth="1"/>
    <col min="13317" max="13317" width="15" style="202" customWidth="1"/>
    <col min="13318" max="13318" width="3.6640625" style="202" customWidth="1"/>
    <col min="13319" max="13320" width="13" style="202" customWidth="1"/>
    <col min="13321" max="13321" width="0" style="202" hidden="1" customWidth="1"/>
    <col min="13322" max="13323" width="9.33203125" style="202"/>
    <col min="13324" max="13324" width="15.83203125" style="202" customWidth="1"/>
    <col min="13325" max="13563" width="9.33203125" style="202"/>
    <col min="13564" max="13564" width="5" style="202" customWidth="1"/>
    <col min="13565" max="13565" width="9.33203125" style="202"/>
    <col min="13566" max="13566" width="21.6640625" style="202" customWidth="1"/>
    <col min="13567" max="13567" width="13.5" style="202" customWidth="1"/>
    <col min="13568" max="13568" width="10.5" style="202" customWidth="1"/>
    <col min="13569" max="13569" width="15.1640625" style="202" customWidth="1"/>
    <col min="13570" max="13570" width="3.6640625" style="202" customWidth="1"/>
    <col min="13571" max="13571" width="13.1640625" style="202" customWidth="1"/>
    <col min="13572" max="13572" width="3.83203125" style="202" customWidth="1"/>
    <col min="13573" max="13573" width="15" style="202" customWidth="1"/>
    <col min="13574" max="13574" width="3.6640625" style="202" customWidth="1"/>
    <col min="13575" max="13576" width="13" style="202" customWidth="1"/>
    <col min="13577" max="13577" width="0" style="202" hidden="1" customWidth="1"/>
    <col min="13578" max="13579" width="9.33203125" style="202"/>
    <col min="13580" max="13580" width="15.83203125" style="202" customWidth="1"/>
    <col min="13581" max="13819" width="9.33203125" style="202"/>
    <col min="13820" max="13820" width="5" style="202" customWidth="1"/>
    <col min="13821" max="13821" width="9.33203125" style="202"/>
    <col min="13822" max="13822" width="21.6640625" style="202" customWidth="1"/>
    <col min="13823" max="13823" width="13.5" style="202" customWidth="1"/>
    <col min="13824" max="13824" width="10.5" style="202" customWidth="1"/>
    <col min="13825" max="13825" width="15.1640625" style="202" customWidth="1"/>
    <col min="13826" max="13826" width="3.6640625" style="202" customWidth="1"/>
    <col min="13827" max="13827" width="13.1640625" style="202" customWidth="1"/>
    <col min="13828" max="13828" width="3.83203125" style="202" customWidth="1"/>
    <col min="13829" max="13829" width="15" style="202" customWidth="1"/>
    <col min="13830" max="13830" width="3.6640625" style="202" customWidth="1"/>
    <col min="13831" max="13832" width="13" style="202" customWidth="1"/>
    <col min="13833" max="13833" width="0" style="202" hidden="1" customWidth="1"/>
    <col min="13834" max="13835" width="9.33203125" style="202"/>
    <col min="13836" max="13836" width="15.83203125" style="202" customWidth="1"/>
    <col min="13837" max="14075" width="9.33203125" style="202"/>
    <col min="14076" max="14076" width="5" style="202" customWidth="1"/>
    <col min="14077" max="14077" width="9.33203125" style="202"/>
    <col min="14078" max="14078" width="21.6640625" style="202" customWidth="1"/>
    <col min="14079" max="14079" width="13.5" style="202" customWidth="1"/>
    <col min="14080" max="14080" width="10.5" style="202" customWidth="1"/>
    <col min="14081" max="14081" width="15.1640625" style="202" customWidth="1"/>
    <col min="14082" max="14082" width="3.6640625" style="202" customWidth="1"/>
    <col min="14083" max="14083" width="13.1640625" style="202" customWidth="1"/>
    <col min="14084" max="14084" width="3.83203125" style="202" customWidth="1"/>
    <col min="14085" max="14085" width="15" style="202" customWidth="1"/>
    <col min="14086" max="14086" width="3.6640625" style="202" customWidth="1"/>
    <col min="14087" max="14088" width="13" style="202" customWidth="1"/>
    <col min="14089" max="14089" width="0" style="202" hidden="1" customWidth="1"/>
    <col min="14090" max="14091" width="9.33203125" style="202"/>
    <col min="14092" max="14092" width="15.83203125" style="202" customWidth="1"/>
    <col min="14093" max="14331" width="9.33203125" style="202"/>
    <col min="14332" max="14332" width="5" style="202" customWidth="1"/>
    <col min="14333" max="14333" width="9.33203125" style="202"/>
    <col min="14334" max="14334" width="21.6640625" style="202" customWidth="1"/>
    <col min="14335" max="14335" width="13.5" style="202" customWidth="1"/>
    <col min="14336" max="14336" width="10.5" style="202" customWidth="1"/>
    <col min="14337" max="14337" width="15.1640625" style="202" customWidth="1"/>
    <col min="14338" max="14338" width="3.6640625" style="202" customWidth="1"/>
    <col min="14339" max="14339" width="13.1640625" style="202" customWidth="1"/>
    <col min="14340" max="14340" width="3.83203125" style="202" customWidth="1"/>
    <col min="14341" max="14341" width="15" style="202" customWidth="1"/>
    <col min="14342" max="14342" width="3.6640625" style="202" customWidth="1"/>
    <col min="14343" max="14344" width="13" style="202" customWidth="1"/>
    <col min="14345" max="14345" width="0" style="202" hidden="1" customWidth="1"/>
    <col min="14346" max="14347" width="9.33203125" style="202"/>
    <col min="14348" max="14348" width="15.83203125" style="202" customWidth="1"/>
    <col min="14349" max="14587" width="9.33203125" style="202"/>
    <col min="14588" max="14588" width="5" style="202" customWidth="1"/>
    <col min="14589" max="14589" width="9.33203125" style="202"/>
    <col min="14590" max="14590" width="21.6640625" style="202" customWidth="1"/>
    <col min="14591" max="14591" width="13.5" style="202" customWidth="1"/>
    <col min="14592" max="14592" width="10.5" style="202" customWidth="1"/>
    <col min="14593" max="14593" width="15.1640625" style="202" customWidth="1"/>
    <col min="14594" max="14594" width="3.6640625" style="202" customWidth="1"/>
    <col min="14595" max="14595" width="13.1640625" style="202" customWidth="1"/>
    <col min="14596" max="14596" width="3.83203125" style="202" customWidth="1"/>
    <col min="14597" max="14597" width="15" style="202" customWidth="1"/>
    <col min="14598" max="14598" width="3.6640625" style="202" customWidth="1"/>
    <col min="14599" max="14600" width="13" style="202" customWidth="1"/>
    <col min="14601" max="14601" width="0" style="202" hidden="1" customWidth="1"/>
    <col min="14602" max="14603" width="9.33203125" style="202"/>
    <col min="14604" max="14604" width="15.83203125" style="202" customWidth="1"/>
    <col min="14605" max="14843" width="9.33203125" style="202"/>
    <col min="14844" max="14844" width="5" style="202" customWidth="1"/>
    <col min="14845" max="14845" width="9.33203125" style="202"/>
    <col min="14846" max="14846" width="21.6640625" style="202" customWidth="1"/>
    <col min="14847" max="14847" width="13.5" style="202" customWidth="1"/>
    <col min="14848" max="14848" width="10.5" style="202" customWidth="1"/>
    <col min="14849" max="14849" width="15.1640625" style="202" customWidth="1"/>
    <col min="14850" max="14850" width="3.6640625" style="202" customWidth="1"/>
    <col min="14851" max="14851" width="13.1640625" style="202" customWidth="1"/>
    <col min="14852" max="14852" width="3.83203125" style="202" customWidth="1"/>
    <col min="14853" max="14853" width="15" style="202" customWidth="1"/>
    <col min="14854" max="14854" width="3.6640625" style="202" customWidth="1"/>
    <col min="14855" max="14856" width="13" style="202" customWidth="1"/>
    <col min="14857" max="14857" width="0" style="202" hidden="1" customWidth="1"/>
    <col min="14858" max="14859" width="9.33203125" style="202"/>
    <col min="14860" max="14860" width="15.83203125" style="202" customWidth="1"/>
    <col min="14861" max="15099" width="9.33203125" style="202"/>
    <col min="15100" max="15100" width="5" style="202" customWidth="1"/>
    <col min="15101" max="15101" width="9.33203125" style="202"/>
    <col min="15102" max="15102" width="21.6640625" style="202" customWidth="1"/>
    <col min="15103" max="15103" width="13.5" style="202" customWidth="1"/>
    <col min="15104" max="15104" width="10.5" style="202" customWidth="1"/>
    <col min="15105" max="15105" width="15.1640625" style="202" customWidth="1"/>
    <col min="15106" max="15106" width="3.6640625" style="202" customWidth="1"/>
    <col min="15107" max="15107" width="13.1640625" style="202" customWidth="1"/>
    <col min="15108" max="15108" width="3.83203125" style="202" customWidth="1"/>
    <col min="15109" max="15109" width="15" style="202" customWidth="1"/>
    <col min="15110" max="15110" width="3.6640625" style="202" customWidth="1"/>
    <col min="15111" max="15112" width="13" style="202" customWidth="1"/>
    <col min="15113" max="15113" width="0" style="202" hidden="1" customWidth="1"/>
    <col min="15114" max="15115" width="9.33203125" style="202"/>
    <col min="15116" max="15116" width="15.83203125" style="202" customWidth="1"/>
    <col min="15117" max="15355" width="9.33203125" style="202"/>
    <col min="15356" max="15356" width="5" style="202" customWidth="1"/>
    <col min="15357" max="15357" width="9.33203125" style="202"/>
    <col min="15358" max="15358" width="21.6640625" style="202" customWidth="1"/>
    <col min="15359" max="15359" width="13.5" style="202" customWidth="1"/>
    <col min="15360" max="15360" width="10.5" style="202" customWidth="1"/>
    <col min="15361" max="15361" width="15.1640625" style="202" customWidth="1"/>
    <col min="15362" max="15362" width="3.6640625" style="202" customWidth="1"/>
    <col min="15363" max="15363" width="13.1640625" style="202" customWidth="1"/>
    <col min="15364" max="15364" width="3.83203125" style="202" customWidth="1"/>
    <col min="15365" max="15365" width="15" style="202" customWidth="1"/>
    <col min="15366" max="15366" width="3.6640625" style="202" customWidth="1"/>
    <col min="15367" max="15368" width="13" style="202" customWidth="1"/>
    <col min="15369" max="15369" width="0" style="202" hidden="1" customWidth="1"/>
    <col min="15370" max="15371" width="9.33203125" style="202"/>
    <col min="15372" max="15372" width="15.83203125" style="202" customWidth="1"/>
    <col min="15373" max="15611" width="9.33203125" style="202"/>
    <col min="15612" max="15612" width="5" style="202" customWidth="1"/>
    <col min="15613" max="15613" width="9.33203125" style="202"/>
    <col min="15614" max="15614" width="21.6640625" style="202" customWidth="1"/>
    <col min="15615" max="15615" width="13.5" style="202" customWidth="1"/>
    <col min="15616" max="15616" width="10.5" style="202" customWidth="1"/>
    <col min="15617" max="15617" width="15.1640625" style="202" customWidth="1"/>
    <col min="15618" max="15618" width="3.6640625" style="202" customWidth="1"/>
    <col min="15619" max="15619" width="13.1640625" style="202" customWidth="1"/>
    <col min="15620" max="15620" width="3.83203125" style="202" customWidth="1"/>
    <col min="15621" max="15621" width="15" style="202" customWidth="1"/>
    <col min="15622" max="15622" width="3.6640625" style="202" customWidth="1"/>
    <col min="15623" max="15624" width="13" style="202" customWidth="1"/>
    <col min="15625" max="15625" width="0" style="202" hidden="1" customWidth="1"/>
    <col min="15626" max="15627" width="9.33203125" style="202"/>
    <col min="15628" max="15628" width="15.83203125" style="202" customWidth="1"/>
    <col min="15629" max="15867" width="9.33203125" style="202"/>
    <col min="15868" max="15868" width="5" style="202" customWidth="1"/>
    <col min="15869" max="15869" width="9.33203125" style="202"/>
    <col min="15870" max="15870" width="21.6640625" style="202" customWidth="1"/>
    <col min="15871" max="15871" width="13.5" style="202" customWidth="1"/>
    <col min="15872" max="15872" width="10.5" style="202" customWidth="1"/>
    <col min="15873" max="15873" width="15.1640625" style="202" customWidth="1"/>
    <col min="15874" max="15874" width="3.6640625" style="202" customWidth="1"/>
    <col min="15875" max="15875" width="13.1640625" style="202" customWidth="1"/>
    <col min="15876" max="15876" width="3.83203125" style="202" customWidth="1"/>
    <col min="15877" max="15877" width="15" style="202" customWidth="1"/>
    <col min="15878" max="15878" width="3.6640625" style="202" customWidth="1"/>
    <col min="15879" max="15880" width="13" style="202" customWidth="1"/>
    <col min="15881" max="15881" width="0" style="202" hidden="1" customWidth="1"/>
    <col min="15882" max="15883" width="9.33203125" style="202"/>
    <col min="15884" max="15884" width="15.83203125" style="202" customWidth="1"/>
    <col min="15885" max="16123" width="9.33203125" style="202"/>
    <col min="16124" max="16124" width="5" style="202" customWidth="1"/>
    <col min="16125" max="16125" width="9.33203125" style="202"/>
    <col min="16126" max="16126" width="21.6640625" style="202" customWidth="1"/>
    <col min="16127" max="16127" width="13.5" style="202" customWidth="1"/>
    <col min="16128" max="16128" width="10.5" style="202" customWidth="1"/>
    <col min="16129" max="16129" width="15.1640625" style="202" customWidth="1"/>
    <col min="16130" max="16130" width="3.6640625" style="202" customWidth="1"/>
    <col min="16131" max="16131" width="13.1640625" style="202" customWidth="1"/>
    <col min="16132" max="16132" width="3.83203125" style="202" customWidth="1"/>
    <col min="16133" max="16133" width="15" style="202" customWidth="1"/>
    <col min="16134" max="16134" width="3.6640625" style="202" customWidth="1"/>
    <col min="16135" max="16136" width="13" style="202" customWidth="1"/>
    <col min="16137" max="16137" width="0" style="202" hidden="1" customWidth="1"/>
    <col min="16138" max="16139" width="9.33203125" style="202"/>
    <col min="16140" max="16140" width="15.83203125" style="202" customWidth="1"/>
    <col min="16141" max="16384" width="9.33203125" style="202"/>
  </cols>
  <sheetData>
    <row r="2" spans="1:18">
      <c r="A2" s="202"/>
      <c r="B2" s="12"/>
      <c r="C2" s="12"/>
      <c r="D2" s="598" t="s">
        <v>53</v>
      </c>
      <c r="E2" s="598"/>
      <c r="F2" s="598"/>
      <c r="G2" s="598"/>
      <c r="H2" s="598"/>
      <c r="I2" s="598"/>
      <c r="J2" s="598"/>
      <c r="K2" s="249"/>
      <c r="L2" s="82" t="s">
        <v>214</v>
      </c>
    </row>
    <row r="3" spans="1:18">
      <c r="A3" s="202"/>
      <c r="B3" s="12"/>
      <c r="C3" s="12"/>
      <c r="D3" s="599" t="s">
        <v>215</v>
      </c>
      <c r="E3" s="600"/>
      <c r="F3" s="600"/>
      <c r="G3" s="600"/>
      <c r="H3" s="600"/>
      <c r="I3" s="600"/>
      <c r="J3" s="600"/>
      <c r="K3" s="249"/>
      <c r="L3" s="82"/>
    </row>
    <row r="4" spans="1:18">
      <c r="A4" s="202"/>
      <c r="B4" s="12"/>
      <c r="C4" s="12"/>
      <c r="D4" s="599" t="s">
        <v>189</v>
      </c>
      <c r="E4" s="600"/>
      <c r="F4" s="600"/>
      <c r="G4" s="600"/>
      <c r="H4" s="600"/>
      <c r="I4" s="600"/>
      <c r="J4" s="600"/>
      <c r="K4" s="250"/>
      <c r="L4" s="83"/>
      <c r="M4" s="13" t="s">
        <v>56</v>
      </c>
    </row>
    <row r="5" spans="1:18">
      <c r="A5" s="202"/>
      <c r="B5" s="12"/>
      <c r="C5" s="12"/>
      <c r="D5" s="598" t="s">
        <v>55</v>
      </c>
      <c r="E5" s="598"/>
      <c r="F5" s="598"/>
      <c r="G5" s="598"/>
      <c r="H5" s="598"/>
      <c r="I5" s="598"/>
      <c r="J5" s="598"/>
      <c r="K5" s="249"/>
      <c r="L5" s="12" t="s">
        <v>156</v>
      </c>
      <c r="M5" s="13" t="s">
        <v>56</v>
      </c>
    </row>
    <row r="7" spans="1:18">
      <c r="A7" s="78"/>
      <c r="B7" s="14"/>
      <c r="C7" s="15"/>
      <c r="D7" s="15"/>
      <c r="E7" s="16"/>
      <c r="F7" s="74"/>
      <c r="G7" s="22"/>
      <c r="H7" s="74"/>
      <c r="I7" s="22"/>
      <c r="J7" s="22"/>
      <c r="K7" s="17" t="s">
        <v>57</v>
      </c>
      <c r="L7" s="15"/>
      <c r="M7" s="15"/>
    </row>
    <row r="8" spans="1:18">
      <c r="A8" s="75" t="s">
        <v>7</v>
      </c>
      <c r="B8" s="18"/>
      <c r="C8" s="19"/>
      <c r="D8" s="20" t="s">
        <v>52</v>
      </c>
      <c r="E8" s="21" t="s">
        <v>58</v>
      </c>
      <c r="F8" s="75" t="s">
        <v>59</v>
      </c>
      <c r="G8" s="22"/>
      <c r="H8" s="75" t="s">
        <v>60</v>
      </c>
      <c r="I8" s="22"/>
      <c r="J8" s="22"/>
      <c r="K8" s="23" t="s">
        <v>201</v>
      </c>
      <c r="L8" s="24" t="s">
        <v>61</v>
      </c>
      <c r="M8" s="20" t="s">
        <v>62</v>
      </c>
    </row>
    <row r="9" spans="1:18">
      <c r="A9" s="75" t="s">
        <v>10</v>
      </c>
      <c r="B9" s="25" t="s">
        <v>0</v>
      </c>
      <c r="C9" s="24"/>
      <c r="D9" s="20" t="s">
        <v>63</v>
      </c>
      <c r="E9" s="21" t="s">
        <v>64</v>
      </c>
      <c r="F9" s="75" t="s">
        <v>65</v>
      </c>
      <c r="G9" s="22"/>
      <c r="H9" s="75" t="s">
        <v>66</v>
      </c>
      <c r="I9" s="22"/>
      <c r="J9" s="22"/>
      <c r="K9" s="23" t="s">
        <v>67</v>
      </c>
      <c r="L9" s="24" t="s">
        <v>67</v>
      </c>
      <c r="M9" s="24" t="s">
        <v>67</v>
      </c>
    </row>
    <row r="10" spans="1:18" s="77" customFormat="1">
      <c r="A10" s="79"/>
      <c r="B10" s="601" t="s">
        <v>15</v>
      </c>
      <c r="C10" s="602"/>
      <c r="D10" s="20" t="s">
        <v>16</v>
      </c>
      <c r="E10" s="21" t="s">
        <v>17</v>
      </c>
      <c r="F10" s="76" t="s">
        <v>18</v>
      </c>
      <c r="G10" s="81"/>
      <c r="H10" s="76" t="s">
        <v>68</v>
      </c>
      <c r="I10" s="81"/>
      <c r="J10" s="81"/>
      <c r="K10" s="26" t="s">
        <v>69</v>
      </c>
      <c r="L10" s="20" t="s">
        <v>70</v>
      </c>
      <c r="M10" s="20" t="s">
        <v>71</v>
      </c>
    </row>
    <row r="11" spans="1:18">
      <c r="A11" s="80"/>
      <c r="B11" s="27" t="s">
        <v>72</v>
      </c>
      <c r="C11" s="28"/>
      <c r="D11" s="28"/>
      <c r="E11" s="28"/>
      <c r="F11" s="28"/>
      <c r="H11" s="29"/>
      <c r="K11" s="30"/>
      <c r="L11" s="28"/>
      <c r="M11" s="31"/>
    </row>
    <row r="12" spans="1:18">
      <c r="A12" s="75">
        <v>1</v>
      </c>
      <c r="B12" s="32" t="s">
        <v>74</v>
      </c>
      <c r="C12" s="22"/>
      <c r="D12" s="20" t="s">
        <v>75</v>
      </c>
      <c r="E12" s="72">
        <f>+'[1]Bills-Therms-Revs'!F69</f>
        <v>579</v>
      </c>
      <c r="F12" s="135">
        <f>+'[1]Bills-Therms-Revs'!G12+'[1]Bills-Therms-Revs'!G20+'[1]Bills-Therms-Revs'!G30</f>
        <v>411467</v>
      </c>
      <c r="G12" s="22"/>
      <c r="H12" s="136">
        <f>+'[1]Bills-Therms-Revs'!I12+'[1]Bills-Therms-Revs'!I20+'[1]Bills-Therms-Revs'!I30</f>
        <v>417001</v>
      </c>
      <c r="I12" s="22"/>
      <c r="J12" s="22"/>
      <c r="K12" s="105">
        <f>+'Ex-1'!F9</f>
        <v>4.1500000000000009E-3</v>
      </c>
      <c r="L12" s="34">
        <f>F12*K12</f>
        <v>1707.5880500000003</v>
      </c>
      <c r="M12" s="53" t="e">
        <f>L12/#REF!</f>
        <v>#REF!</v>
      </c>
      <c r="N12" s="235">
        <f>+L12/H12</f>
        <v>4.0949255517372871E-3</v>
      </c>
      <c r="R12" s="10"/>
    </row>
    <row r="13" spans="1:18">
      <c r="A13" s="75">
        <v>2</v>
      </c>
      <c r="B13" s="32" t="s">
        <v>137</v>
      </c>
      <c r="C13" s="33"/>
      <c r="D13" s="20" t="s">
        <v>76</v>
      </c>
      <c r="E13" s="72">
        <f>+'[1]Bills-Therms-Revs'!F70</f>
        <v>175146</v>
      </c>
      <c r="F13" s="135">
        <f>+'[1]Bills-Therms-Revs'!G13+'[1]Bills-Therms-Revs'!G16+'[1]Bills-Therms-Revs'!G17</f>
        <v>118476427</v>
      </c>
      <c r="G13" s="106"/>
      <c r="H13" s="135">
        <f>+'[1]Bills-Therms-Revs'!I13+'[1]Bills-Therms-Revs'!I16+'[1]Bills-Therms-Revs'!I17</f>
        <v>121197050</v>
      </c>
      <c r="I13" s="22"/>
      <c r="J13" s="106"/>
      <c r="K13" s="105">
        <f>+'Ex-1'!F10</f>
        <v>4.1500000000000009E-3</v>
      </c>
      <c r="L13" s="34">
        <f>F13*K13</f>
        <v>491677.17205000011</v>
      </c>
      <c r="M13" s="53" t="e">
        <f>L13/#REF!</f>
        <v>#REF!</v>
      </c>
      <c r="N13" s="235">
        <f t="shared" ref="N13:N24" si="0">+L13/H13</f>
        <v>4.0568410868911421E-3</v>
      </c>
      <c r="R13" s="10"/>
    </row>
    <row r="14" spans="1:18">
      <c r="A14" s="75">
        <v>3</v>
      </c>
      <c r="B14" s="32" t="s">
        <v>138</v>
      </c>
      <c r="C14" s="22"/>
      <c r="D14" s="20" t="s">
        <v>82</v>
      </c>
      <c r="E14" s="72">
        <f>+'[1]Bills-Therms-Revs'!F71</f>
        <v>24894</v>
      </c>
      <c r="F14" s="135">
        <f>+'[1]Bills-Therms-Revs'!G21+'[1]Bills-Therms-Revs'!G25+'[1]Bills-Therms-Revs'!G26+'[1]Bills-Therms-Revs'!G27</f>
        <v>80983340</v>
      </c>
      <c r="G14" s="22"/>
      <c r="H14" s="135">
        <f>+'[1]Bills-Therms-Revs'!I21+'[1]Bills-Therms-Revs'!I25+'[1]Bills-Therms-Revs'!I26+'[1]Bills-Therms-Revs'!I27</f>
        <v>77628809</v>
      </c>
      <c r="I14" s="22"/>
      <c r="J14" s="22"/>
      <c r="K14" s="105">
        <f>+'Ex-1'!F11</f>
        <v>4.4099999999999999E-3</v>
      </c>
      <c r="L14" s="34">
        <f>ROUND(F14*K14,0)</f>
        <v>357137</v>
      </c>
      <c r="M14" s="53" t="e">
        <f>ROUND(L14/#REF!,4)</f>
        <v>#REF!</v>
      </c>
      <c r="N14" s="235">
        <f t="shared" si="0"/>
        <v>4.6005729651217497E-3</v>
      </c>
      <c r="R14" s="10"/>
    </row>
    <row r="15" spans="1:18">
      <c r="A15" s="75">
        <v>4</v>
      </c>
      <c r="B15" s="32" t="s">
        <v>139</v>
      </c>
      <c r="C15" s="33"/>
      <c r="D15" s="20" t="s">
        <v>86</v>
      </c>
      <c r="E15" s="72">
        <f>+'[1]Bills-Therms-Revs'!F75</f>
        <v>387</v>
      </c>
      <c r="F15" s="135">
        <f>+'[1]Bills-Therms-Revs'!G31</f>
        <v>13450676</v>
      </c>
      <c r="G15" s="22"/>
      <c r="H15" s="135">
        <f>+'[1]Bills-Therms-Revs'!I31</f>
        <v>10594609</v>
      </c>
      <c r="I15" s="22"/>
      <c r="J15" s="22"/>
      <c r="K15" s="105">
        <f>+'Ex-1'!F15</f>
        <v>8.8000000000000057E-4</v>
      </c>
      <c r="L15" s="34">
        <f t="shared" ref="L15:L20" si="1">F15*K15</f>
        <v>11836.594880000008</v>
      </c>
      <c r="M15" s="53" t="e">
        <f>L15/#REF!</f>
        <v>#REF!</v>
      </c>
      <c r="N15" s="235">
        <f t="shared" si="0"/>
        <v>1.117228099687304E-3</v>
      </c>
      <c r="R15" s="10"/>
    </row>
    <row r="16" spans="1:18">
      <c r="A16" s="75">
        <v>5</v>
      </c>
      <c r="B16" s="32" t="s">
        <v>83</v>
      </c>
      <c r="C16" s="22"/>
      <c r="D16" s="20" t="s">
        <v>84</v>
      </c>
      <c r="E16" s="72">
        <f>+'[1]Bills-Therms-Revs'!F74</f>
        <v>81</v>
      </c>
      <c r="F16" s="135">
        <f>+'[1]Bills-Therms-Revs'!G32+'[1]Bills-Therms-Revs'!G22+'[1]Bills-Therms-Revs'!G35</f>
        <v>8608384</v>
      </c>
      <c r="G16" s="106"/>
      <c r="H16" s="135">
        <f>+'[1]Bills-Therms-Revs'!I32+'[1]Bills-Therms-Revs'!I22+'[1]Bills-Therms-Revs'!I35</f>
        <v>6795588</v>
      </c>
      <c r="I16" s="106"/>
      <c r="J16" s="106"/>
      <c r="K16" s="105">
        <f>+'Ex-1'!F14</f>
        <v>2.63E-3</v>
      </c>
      <c r="L16" s="34">
        <f t="shared" si="1"/>
        <v>22640.049920000001</v>
      </c>
      <c r="M16" s="53" t="e">
        <f>L16/#REF!</f>
        <v>#REF!</v>
      </c>
      <c r="N16" s="235">
        <f t="shared" si="0"/>
        <v>3.3315807138396265E-3</v>
      </c>
    </row>
    <row r="17" spans="1:18">
      <c r="A17" s="75">
        <v>6</v>
      </c>
      <c r="B17" s="32" t="s">
        <v>77</v>
      </c>
      <c r="C17" s="22"/>
      <c r="D17" s="20" t="s">
        <v>78</v>
      </c>
      <c r="E17" s="72">
        <f>+'[1]Bills-Therms-Revs'!F72</f>
        <v>1</v>
      </c>
      <c r="F17" s="135">
        <f>+'[1]Bills-Therms-Revs'!G14+'[1]Bills-Therms-Revs'!G23+'[1]Bills-Therms-Revs'!G33</f>
        <v>46067</v>
      </c>
      <c r="G17" s="106"/>
      <c r="H17" s="135">
        <f>+'[1]Bills-Therms-Revs'!I14+'[1]Bills-Therms-Revs'!I23+'[1]Bills-Therms-Revs'!I33</f>
        <v>40035</v>
      </c>
      <c r="I17" s="106"/>
      <c r="J17" s="106"/>
      <c r="K17" s="105">
        <f>+'Ex-1'!F12</f>
        <v>2.3600000000000001E-3</v>
      </c>
      <c r="L17" s="34">
        <f t="shared" si="1"/>
        <v>108.71812</v>
      </c>
      <c r="M17" s="53" t="e">
        <f>L17/#REF!</f>
        <v>#REF!</v>
      </c>
      <c r="N17" s="235">
        <f t="shared" si="0"/>
        <v>2.7155768702385413E-3</v>
      </c>
      <c r="R17" s="10"/>
    </row>
    <row r="18" spans="1:18">
      <c r="A18" s="75">
        <v>7</v>
      </c>
      <c r="B18" s="32" t="s">
        <v>79</v>
      </c>
      <c r="C18" s="22"/>
      <c r="D18" s="20" t="s">
        <v>80</v>
      </c>
      <c r="E18" s="72">
        <f>+'[1]Bills-Therms-Revs'!F73</f>
        <v>1</v>
      </c>
      <c r="F18" s="137">
        <f>+'[1]Bills-Therms-Revs'!G15+'[1]Bills-Therms-Revs'!G24</f>
        <v>555</v>
      </c>
      <c r="G18" s="22"/>
      <c r="H18" s="137">
        <f>+'[1]Bills-Therms-Revs'!I15+'[1]Bills-Therms-Revs'!I24</f>
        <v>583</v>
      </c>
      <c r="I18" s="22"/>
      <c r="J18" s="22"/>
      <c r="K18" s="105">
        <f>+'Ex-1'!F13</f>
        <v>4.4099999999999999E-3</v>
      </c>
      <c r="L18" s="34">
        <f t="shared" si="1"/>
        <v>2.4475500000000001</v>
      </c>
      <c r="M18" s="53" t="e">
        <f>L18/#REF!</f>
        <v>#REF!</v>
      </c>
      <c r="N18" s="235">
        <f t="shared" si="0"/>
        <v>4.1981989708404803E-3</v>
      </c>
      <c r="R18" s="10"/>
    </row>
    <row r="19" spans="1:18">
      <c r="A19" s="75">
        <v>8</v>
      </c>
      <c r="B19" s="32" t="s">
        <v>140</v>
      </c>
      <c r="C19" s="22"/>
      <c r="D19" s="20" t="s">
        <v>87</v>
      </c>
      <c r="E19" s="72">
        <f>+'[1]Bills-Therms-Revs'!F76</f>
        <v>10</v>
      </c>
      <c r="F19" s="135">
        <f>+'[1]Bills-Therms-Revs'!G38-9234</f>
        <v>4238887</v>
      </c>
      <c r="G19" s="106"/>
      <c r="H19" s="135">
        <f>+'[1]Bills-Therms-Revs'!I38+30136</f>
        <v>2870316</v>
      </c>
      <c r="I19" s="22"/>
      <c r="J19" s="106"/>
      <c r="K19" s="105">
        <f>+'Ex-1'!F16</f>
        <v>6.0999999999999997E-4</v>
      </c>
      <c r="L19" s="34">
        <f t="shared" si="1"/>
        <v>2585.7210700000001</v>
      </c>
      <c r="M19" s="53" t="e">
        <f>L19/#REF!</f>
        <v>#REF!</v>
      </c>
      <c r="N19" s="235">
        <f t="shared" si="0"/>
        <v>9.0084892046729352E-4</v>
      </c>
      <c r="R19" s="10"/>
    </row>
    <row r="20" spans="1:18">
      <c r="A20" s="75">
        <v>9</v>
      </c>
      <c r="B20" s="32" t="s">
        <v>88</v>
      </c>
      <c r="C20" s="22"/>
      <c r="D20" s="20" t="s">
        <v>89</v>
      </c>
      <c r="E20" s="72">
        <f>+'[1]Bills-Therms-Revs'!F77</f>
        <v>3</v>
      </c>
      <c r="F20" s="135">
        <f>+'[1]Bills-Therms-Revs'!G39+792</f>
        <v>412711</v>
      </c>
      <c r="G20" s="22"/>
      <c r="H20" s="135">
        <f>+'[1]Bills-Therms-Revs'!I39+3224</f>
        <v>307005</v>
      </c>
      <c r="I20" s="22"/>
      <c r="J20" s="22"/>
      <c r="K20" s="105">
        <f>+'Ex-1'!F17</f>
        <v>1.31E-3</v>
      </c>
      <c r="L20" s="34">
        <f t="shared" si="1"/>
        <v>540.65140999999994</v>
      </c>
      <c r="M20" s="53" t="e">
        <f>L20/#REF!</f>
        <v>#REF!</v>
      </c>
      <c r="N20" s="235">
        <f t="shared" si="0"/>
        <v>1.7610508297910455E-3</v>
      </c>
      <c r="R20" s="10"/>
    </row>
    <row r="21" spans="1:18" s="69" customFormat="1">
      <c r="A21" s="76">
        <v>10</v>
      </c>
      <c r="B21" s="27" t="s">
        <v>90</v>
      </c>
      <c r="C21" s="71"/>
      <c r="D21" s="67"/>
      <c r="E21" s="236">
        <f>SUM(E12:E20)</f>
        <v>201102</v>
      </c>
      <c r="F21" s="237">
        <f>SUM(F12:F20)</f>
        <v>226628514</v>
      </c>
      <c r="G21" s="73"/>
      <c r="H21" s="237">
        <f>SUM(H12:H20)</f>
        <v>219850996</v>
      </c>
      <c r="I21" s="73"/>
      <c r="J21" s="73"/>
      <c r="K21" s="107"/>
      <c r="L21" s="68">
        <f>SUM(L12:L20)</f>
        <v>888235.94305000012</v>
      </c>
      <c r="M21" s="84" t="e">
        <f>L21/#REF!</f>
        <v>#REF!</v>
      </c>
      <c r="N21" s="235">
        <f t="shared" si="0"/>
        <v>4.040172476862466E-3</v>
      </c>
    </row>
    <row r="22" spans="1:18" s="18" customFormat="1">
      <c r="A22" s="251"/>
      <c r="B22" s="252" t="s">
        <v>91</v>
      </c>
      <c r="C22" s="253"/>
      <c r="D22" s="253"/>
      <c r="E22" s="254"/>
      <c r="F22" s="254"/>
      <c r="G22" s="255"/>
      <c r="H22" s="8"/>
      <c r="J22" s="255"/>
      <c r="K22" s="256"/>
      <c r="L22" s="257"/>
      <c r="M22" s="258"/>
      <c r="N22" s="235"/>
    </row>
    <row r="23" spans="1:18">
      <c r="A23" s="259">
        <v>11</v>
      </c>
      <c r="B23" s="260" t="s">
        <v>202</v>
      </c>
      <c r="C23" s="14"/>
      <c r="D23" s="74" t="s">
        <v>47</v>
      </c>
      <c r="E23" s="261"/>
      <c r="F23" s="136">
        <f>'[1]Bills-Therms-Revs'!G47</f>
        <v>0</v>
      </c>
      <c r="H23" s="261">
        <f>'[1]Bills-Therms-Revs'!I47</f>
        <v>0</v>
      </c>
      <c r="K23" s="262">
        <f>'[1]Ex1-p3'!F21</f>
        <v>0</v>
      </c>
      <c r="L23" s="263">
        <f>+F23*K23</f>
        <v>0</v>
      </c>
      <c r="M23" s="53"/>
      <c r="N23" s="235"/>
    </row>
    <row r="24" spans="1:18">
      <c r="A24" s="259"/>
      <c r="B24" s="264" t="s">
        <v>203</v>
      </c>
      <c r="C24" s="18"/>
      <c r="D24" s="75" t="s">
        <v>92</v>
      </c>
      <c r="E24" s="135">
        <f>+'[1]Bills-Therms-Revs'!F79</f>
        <v>181</v>
      </c>
      <c r="F24" s="135">
        <f>'[1]Bills-Therms-Revs'!G49</f>
        <v>448282732</v>
      </c>
      <c r="G24" s="255"/>
      <c r="H24" s="135">
        <f>'[1]Bills-Therms-Revs'!I49</f>
        <v>14405303</v>
      </c>
      <c r="I24" s="32"/>
      <c r="J24" s="255"/>
      <c r="K24" s="265">
        <f>+'Ex-1'!F20</f>
        <v>3.6999999999999999E-4</v>
      </c>
      <c r="L24" s="266">
        <f>F24*K24</f>
        <v>165864.61084000001</v>
      </c>
      <c r="M24" s="53"/>
      <c r="N24" s="235">
        <f t="shared" si="0"/>
        <v>1.1514135512456768E-2</v>
      </c>
    </row>
    <row r="25" spans="1:18">
      <c r="A25" s="259">
        <v>12</v>
      </c>
      <c r="B25" s="264" t="s">
        <v>204</v>
      </c>
      <c r="C25" s="18"/>
      <c r="D25" s="76" t="s">
        <v>199</v>
      </c>
      <c r="E25" s="267">
        <f>+'[1]Bills-Therms-Revs'!F80</f>
        <v>13</v>
      </c>
      <c r="F25" s="267">
        <f>'[1]Bills-Therms-Revs'!G50</f>
        <v>307148738</v>
      </c>
      <c r="H25" s="135">
        <f>'[1]Bills-Therms-Revs'!I50</f>
        <v>5894906</v>
      </c>
      <c r="K25" s="265">
        <f>+'[1]Ex1-p3'!F22</f>
        <v>0</v>
      </c>
      <c r="L25" s="266">
        <v>0</v>
      </c>
      <c r="M25" s="268"/>
    </row>
    <row r="26" spans="1:18" s="69" customFormat="1">
      <c r="A26" s="269">
        <v>13</v>
      </c>
      <c r="B26" s="270" t="s">
        <v>205</v>
      </c>
      <c r="C26" s="71"/>
      <c r="D26" s="67"/>
      <c r="E26" s="271">
        <f>SUM(E23:E25)</f>
        <v>194</v>
      </c>
      <c r="F26" s="271">
        <f>SUM(F23:F25)</f>
        <v>755431470</v>
      </c>
      <c r="G26" s="272"/>
      <c r="H26" s="271">
        <f>SUM(H23:H25)</f>
        <v>20300209</v>
      </c>
      <c r="I26" s="272"/>
      <c r="J26" s="272"/>
      <c r="K26" s="273"/>
      <c r="L26" s="274">
        <f>+L24+L23</f>
        <v>165864.61084000001</v>
      </c>
      <c r="M26" s="85"/>
    </row>
    <row r="27" spans="1:18" s="272" customFormat="1">
      <c r="A27" s="275"/>
      <c r="B27" s="276"/>
      <c r="E27" s="277"/>
      <c r="F27" s="70"/>
      <c r="H27" s="277"/>
      <c r="K27" s="278"/>
      <c r="L27" s="279"/>
      <c r="M27" s="280"/>
    </row>
    <row r="28" spans="1:18" s="69" customFormat="1">
      <c r="A28" s="80">
        <v>14</v>
      </c>
      <c r="B28" s="270" t="s">
        <v>206</v>
      </c>
      <c r="C28" s="71"/>
      <c r="D28" s="71"/>
      <c r="E28" s="271">
        <f>+E26+E21</f>
        <v>201296</v>
      </c>
      <c r="F28" s="271">
        <f>+F26+F21</f>
        <v>982059984</v>
      </c>
      <c r="G28" s="70"/>
      <c r="H28" s="271">
        <f>+H26+H21</f>
        <v>240151205</v>
      </c>
      <c r="I28" s="70"/>
      <c r="J28" s="272"/>
      <c r="K28" s="273"/>
      <c r="L28" s="274">
        <f>+L24+L21</f>
        <v>1054100.5538900001</v>
      </c>
      <c r="N28" s="234">
        <f>+L28/H28</f>
        <v>4.389320277989028E-3</v>
      </c>
    </row>
    <row r="30" spans="1:18">
      <c r="B30" s="103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371C7D70641140AD51D859467EAB83" ma:contentTypeVersion="44" ma:contentTypeDescription="" ma:contentTypeScope="" ma:versionID="247cb6c03148e31704e79e7383de2f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2020-09-15T07:00:00+00:00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F66D554-2F30-4076-9006-D135A4EF2562}"/>
</file>

<file path=customXml/itemProps2.xml><?xml version="1.0" encoding="utf-8"?>
<ds:datastoreItem xmlns:ds="http://schemas.openxmlformats.org/officeDocument/2006/customXml" ds:itemID="{03528AAF-7C2E-4C80-8C27-EC3BAA3F297A}"/>
</file>

<file path=customXml/itemProps3.xml><?xml version="1.0" encoding="utf-8"?>
<ds:datastoreItem xmlns:ds="http://schemas.openxmlformats.org/officeDocument/2006/customXml" ds:itemID="{BC20B045-7A46-4251-8FC5-F5133481A6CC}"/>
</file>

<file path=customXml/itemProps4.xml><?xml version="1.0" encoding="utf-8"?>
<ds:datastoreItem xmlns:ds="http://schemas.openxmlformats.org/officeDocument/2006/customXml" ds:itemID="{56E8192A-DA34-4E8E-B4D4-1877DE714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Table of Contents</vt:lpstr>
      <vt:lpstr>CPA Summary of Def. Accts.</vt:lpstr>
      <vt:lpstr>CPA Proposed Rate 596</vt:lpstr>
      <vt:lpstr>CPA Amount of Change</vt:lpstr>
      <vt:lpstr>CPA Cost by Class</vt:lpstr>
      <vt:lpstr>CPA Proposed Typical Bill</vt:lpstr>
      <vt:lpstr>Pipeline Workpapers---&gt;</vt:lpstr>
      <vt:lpstr>Ex-1</vt:lpstr>
      <vt:lpstr>Ex-2</vt:lpstr>
      <vt:lpstr>Ex-3</vt:lpstr>
      <vt:lpstr>Ex-4</vt:lpstr>
      <vt:lpstr>Workpapers---&gt;</vt:lpstr>
      <vt:lpstr>Balances at 7-31-2020</vt:lpstr>
      <vt:lpstr>Int calc thru 10-31-2020</vt:lpstr>
      <vt:lpstr>Amort Calc thru 10-31-2020</vt:lpstr>
      <vt:lpstr>EstimatedBalances</vt:lpstr>
      <vt:lpstr>Int during Amort</vt:lpstr>
      <vt:lpstr>Test Period Volumes</vt:lpstr>
      <vt:lpstr>Bills-Therms-Revs</vt:lpstr>
      <vt:lpstr>'Balances at 7-31-2020'!BalancesJuly</vt:lpstr>
      <vt:lpstr>PGAPeriodVolumes</vt:lpstr>
      <vt:lpstr>'Bills-Therms-Revs'!Print_Area</vt:lpstr>
      <vt:lpstr>'CPA Proposed Rate 596'!Print_Area</vt:lpstr>
      <vt:lpstr>'Test Period Volumes'!Print_Area</vt:lpstr>
      <vt:lpstr>'Int during Amort'!Print_Titles</vt:lpstr>
      <vt:lpstr>TestPeriodVolumes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2020-09-08T17:30:52Z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0x0101006E56B4D1795A2E4DB2F0B01679ED314A00E0371C7D70641140AD51D859467EAB83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