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5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externalLinks/externalLink3.xml" ContentType="application/vnd.openxmlformats-officedocument.spreadsheetml.externalLink+xml"/>
  <Override PartName="/xl/customProperty10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ustomProperty9.bin" ContentType="application/vnd.openxmlformats-officedocument.spreadsheetml.customProperty"/>
  <Override PartName="/xl/externalLinks/externalLink8.xml" ContentType="application/vnd.openxmlformats-officedocument.spreadsheetml.externalLink+xml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externalLinks/externalLink16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19\To File Dec 2019 CBR\To File Electric 2019 CBR\"/>
    </mc:Choice>
  </mc:AlternateContent>
  <bookViews>
    <workbookView xWindow="-12" yWindow="-12" windowWidth="14520" windowHeight="14652" tabRatio="842"/>
  </bookViews>
  <sheets>
    <sheet name="1.01 ROR ROE" sheetId="20" r:id="rId1"/>
    <sheet name="1.02 COC" sheetId="21" r:id="rId2"/>
    <sheet name="model" sheetId="1" r:id="rId3"/>
    <sheet name="Earnings Sharing-CBR to Adj CBR" sheetId="51" r:id="rId4"/>
    <sheet name="Restating Print Macros" sheetId="2" state="veryHidden" r:id="rId5"/>
    <sheet name="Module13" sheetId="3" state="veryHidden" r:id="rId6"/>
    <sheet name="Module14" sheetId="4" state="veryHidden" r:id="rId7"/>
    <sheet name="Module15" sheetId="5" state="veryHidden" r:id="rId8"/>
    <sheet name="Module1" sheetId="6" state="very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3.01_TempNorm">model!$A$1:$F$50</definedName>
    <definedName name="_3.02_RevExp">model!$G$1:$K$45</definedName>
    <definedName name="_3.03_FIT">model!$L$1:$N$32</definedName>
    <definedName name="_3.04_TBoRI">model!$O$1:$R$26</definedName>
    <definedName name="_3.05_PassThru">model!$S$1:$V$41</definedName>
    <definedName name="_3.06_RateCaseExp">model!$W$1:$AA$24</definedName>
    <definedName name="_3.07_BadDebt">model!$AB$1:$AH$29</definedName>
    <definedName name="_3.09_ExciseTax">model!$AN$1:$AQ$27</definedName>
    <definedName name="_3.10_DandO">model!$AR$1:$AV$24</definedName>
    <definedName name="_3.11_IntOnCustD">model!$AW$1:$AZ$26</definedName>
    <definedName name="_3.12_Pension">model!$BA$1:$BE$21</definedName>
    <definedName name="_3.13_InjAndDam">model!$BF$1:$BJ$20</definedName>
    <definedName name="_3.A">model!$BQ$1:$BZ$57</definedName>
    <definedName name="_3.B">model!$CA$1:$CJ$57</definedName>
    <definedName name="_4.01">model!$BK$1:$BO$30</definedName>
    <definedName name="_FEDERAL_INCOME_TAX">model!$DW$21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CBWorkbookPriority">-2060790043</definedName>
    <definedName name="DOCKET">model!$G$7</definedName>
    <definedName name="FEDERAL_INCOME_TAX">model!$BN$23</definedName>
    <definedName name="FIT">model!$BN$19</definedName>
    <definedName name="HTML_CodePage">1252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STMNT">model!$CK$4:$IT$47</definedName>
    <definedName name="_xlnm.Print_Area" localSheetId="3">'Earnings Sharing-CBR to Adj CBR'!$A$2:$I$21</definedName>
    <definedName name="_xlnm.Print_Area" localSheetId="2">model!$BS$14:$BS$65</definedName>
    <definedName name="PSPL">model!$G$4</definedName>
    <definedName name="RESULTS_OF_OPERATIONS">model!$CK$2:$CO$57</definedName>
    <definedName name="SAPBEXhrIndnt">"Wide"</definedName>
    <definedName name="SAPsysID">"708C5W7SBKP804JT78WJ0JNKI"</definedName>
    <definedName name="SAPwbID">"ARS"</definedName>
    <definedName name="STATE_UTILITY_TAX">model!$BN$20</definedName>
    <definedName name="SUMMARY">model!$CK$1:$CO$57</definedName>
    <definedName name="TableName">"Dummy"</definedName>
    <definedName name="TESTYEAR">model!$A$6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">model!$CN$14</definedName>
    <definedName name="Z_1E45DDAB_A557_4269_B1F7_CCA75743796E_.wvu.PrintArea" localSheetId="2">model!$O$1:$R$24</definedName>
    <definedName name="Z_31DFCE0A_9DA6_4A87_B609_465F85B537E0_.wvu.PrintArea" localSheetId="2">model!$G$1:$K$59</definedName>
    <definedName name="Z_363BCC7B_365C_4862_8308_FD01127C4AC4_.wvu.PrintArea" localSheetId="2">model!$AN$1:$AQ$27</definedName>
    <definedName name="Z_3CBED636_2D45_404E_AAC8_3EE8AD1E87DC_.wvu.PrintArea" localSheetId="2">model!$BK$1:$BO$30</definedName>
    <definedName name="Z_5528C217_5C85_409E_BEF2_118EFA30D59F_.wvu.PrintArea" localSheetId="2">model!$BK$34:$BO$54</definedName>
    <definedName name="Z_6734E4FA_60B7_471C_AEFF_A65F9BB053D8_.wvu.PrintArea" localSheetId="2">model!$BQ$1:$CO$58</definedName>
    <definedName name="Z_70410578_0BAB_407F_B45A_A1FD00E78914_.wvu.PrintArea" localSheetId="2">model!$S$1:$V$51</definedName>
    <definedName name="Z_833E8250_6973_4555_A9B1_5ACEC89F3481_.wvu.PrintArea" localSheetId="2">model!$AB$1:$AH$26</definedName>
    <definedName name="Z_9180F71E_9CF3_48FD_9127_9BC9888EC40C_.wvu.PrintArea" localSheetId="2">model!$BK$55:$BO$82</definedName>
    <definedName name="Z_DF51FD8A_8BA9_46B7_B455_DFD0D532E42D_.wvu.PrintArea" localSheetId="2">model!$L$1:$N$41</definedName>
    <definedName name="Z_F0C9B202_A28C_4D84_9483_9F8FC93D796D_.wvu.PrintArea" localSheetId="2">model!$BK$56:$BO$79</definedName>
  </definedNames>
  <calcPr calcId="162913"/>
  <customWorkbookViews>
    <customWorkbookView name="PAGE 2.02" guid="{DF51FD8A-8BA9-46B7-B455-DFD0D532E42D}" maximized="1" windowWidth="1276" windowHeight="746" activeSheetId="6"/>
    <customWorkbookView name="PAGE 2.03" guid="{1E45DDAB-A557-4269-B1F7-CCA75743796E}" maximized="1" windowWidth="1276" windowHeight="746" activeSheetId="6"/>
    <customWorkbookView name="PAGE 2.04" guid="{114781A2-0298-429A-B53B-CCDE7FC07C8A}" maximized="1" windowWidth="1276" windowHeight="746" activeSheetId="6"/>
    <customWorkbookView name="PAGE 2.05" guid="{70410578-0BAB-407F-B45A-A1FD00E78914}" maximized="1" windowWidth="1276" windowHeight="746" activeSheetId="6"/>
    <customWorkbookView name="PAGE 2.06" guid="{833E8250-6973-4555-A9B1-5ACEC89F3481}" maximized="1" windowWidth="1276" windowHeight="746" activeSheetId="6"/>
    <customWorkbookView name="PAGE 2.07" guid="{2C3700F5-7337-49E6-9C17-9B49CE910373}" maximized="1" windowWidth="1276" windowHeight="746" activeSheetId="6"/>
    <customWorkbookView name="PAGE 2.08" guid="{57344CAB-EDB4-4D23-8F83-6632FA133D6F}" maximized="1" windowWidth="1276" windowHeight="746" activeSheetId="6"/>
    <customWorkbookView name="PAGE 2.15" guid="{368BDFFC-8B6F-4E1E-88F3-F226428845CF}" maximized="1" windowWidth="1276" windowHeight="746" activeSheetId="6"/>
    <customWorkbookView name="PAGE 2.17" guid="{BEBB2007-766E-4870-AB0B-58E56CB3F651}" maximized="1" windowWidth="1020" windowHeight="579" activeSheetId="1"/>
    <customWorkbookView name="PAGE 4.00" guid="{F0C9B202-A28C-4D84-9483-9F8FC93D796D}" maximized="1" windowWidth="1020" windowHeight="579" activeSheetId="1"/>
    <customWorkbookView name="PAGE 4.02" guid="{5528C217-5C85-409E-BEF2-118EFA30D59F}" maximized="1" windowWidth="1020" windowHeight="579" activeSheetId="1"/>
    <customWorkbookView name="PAGE 4.03" guid="{3CBED636-2D45-404E-AAC8-3EE8AD1E87DC}" maximized="1" windowWidth="1020" windowHeight="579" activeSheetId="1"/>
    <customWorkbookView name="PAGE 2.01" guid="{31DFCE0A-9DA6-4A87-B609-465F85B537E0}" maximized="1" windowWidth="1020" windowHeight="579" activeSheetId="1"/>
    <customWorkbookView name="PAGE 2.09" guid="{363BCC7B-365C-4862-8308-FD01127C4AC4}" maximized="1" windowWidth="1020" windowHeight="579" activeSheetId="1"/>
    <customWorkbookView name="PAGE 2.10" guid="{4D415296-881A-4775-98CD-22EFE3033486}" maximized="1" windowWidth="1020" windowHeight="579" activeSheetId="1"/>
    <customWorkbookView name="PAGE 2.11" guid="{1B900283-A429-4403-A9D8-C71CBE042C5B}" maximized="1" windowWidth="1020" windowHeight="579" activeSheetId="1"/>
    <customWorkbookView name="PAGE 2.12" guid="{1C1C43A1-DC1D-4B83-8878-3010F6B52F39}" maximized="1" windowWidth="1020" windowHeight="579" activeSheetId="1"/>
    <customWorkbookView name="PAGE 2.13" guid="{9BA720D1-BA25-4C52-A40B-874BAF7D1762}" maximized="1" windowWidth="1020" windowHeight="579" activeSheetId="1"/>
    <customWorkbookView name="PAGE 2.14" guid="{416960AD-1B0E-43B1-BBE2-4C2BAE619099}" maximized="1" windowWidth="1020" windowHeight="579" activeSheetId="1"/>
    <customWorkbookView name="PAGE 2.16" guid="{E75FE358-FE2D-4487-BA5A-B5AB72EE82DF}" maximized="1" windowWidth="1020" windowHeight="579" activeSheetId="1"/>
    <customWorkbookView name="Spreadsheet and summary" guid="{6734E4FA-60B7-471C-AEFF-A65F9BB053D8}" maximized="1" windowWidth="1020" windowHeight="579" activeSheetId="1"/>
    <customWorkbookView name="ckrueg - Personal view" guid="{9180F71E-9CF3-48FD-9127-9BC9888EC40C}" maximized="1" windowWidth="1020" windowHeight="579" activeSheetId="1"/>
  </customWorkbookViews>
</workbook>
</file>

<file path=xl/calcChain.xml><?xml version="1.0" encoding="utf-8"?>
<calcChain xmlns="http://schemas.openxmlformats.org/spreadsheetml/2006/main">
  <c r="D11" i="51" l="1"/>
  <c r="V28" i="1" l="1"/>
  <c r="V27" i="1"/>
  <c r="V26" i="1"/>
  <c r="AU13" i="1" l="1"/>
  <c r="AT13" i="1"/>
  <c r="AU12" i="1"/>
  <c r="AT12" i="1"/>
  <c r="E11" i="51" l="1"/>
  <c r="F11" i="51" s="1"/>
  <c r="G11" i="51" s="1"/>
  <c r="H11" i="51" s="1"/>
  <c r="I11" i="51" s="1"/>
  <c r="BD12" i="1" l="1"/>
  <c r="BC12" i="1"/>
  <c r="AL15" i="1" l="1"/>
  <c r="AK15" i="1"/>
  <c r="AL13" i="1"/>
  <c r="AK13" i="1"/>
  <c r="V22" i="1" l="1"/>
  <c r="V21" i="1"/>
  <c r="V20" i="1"/>
  <c r="V15" i="1"/>
  <c r="V14" i="1"/>
  <c r="V13" i="1"/>
  <c r="J20" i="1" l="1"/>
  <c r="J14" i="1"/>
  <c r="E38" i="1" l="1"/>
  <c r="E34" i="1"/>
  <c r="E33" i="1"/>
  <c r="E32" i="1"/>
  <c r="E31" i="1"/>
  <c r="E30" i="1"/>
  <c r="D26" i="1"/>
  <c r="D25" i="1"/>
  <c r="D24" i="1"/>
  <c r="D23" i="1"/>
  <c r="D22" i="1"/>
  <c r="D21" i="1"/>
  <c r="D20" i="1"/>
  <c r="D19" i="1"/>
  <c r="D18" i="1"/>
  <c r="D17" i="1"/>
  <c r="D16" i="1"/>
  <c r="D15" i="1"/>
  <c r="C26" i="1"/>
  <c r="C25" i="1"/>
  <c r="C24" i="1"/>
  <c r="C23" i="1"/>
  <c r="C22" i="1"/>
  <c r="C21" i="1"/>
  <c r="C20" i="1"/>
  <c r="C19" i="1"/>
  <c r="C18" i="1"/>
  <c r="C17" i="1"/>
  <c r="C16" i="1"/>
  <c r="C15" i="1"/>
  <c r="AG24" i="1" l="1"/>
  <c r="AE18" i="1"/>
  <c r="AF18" i="1"/>
  <c r="AG18" i="1"/>
  <c r="AD12" i="1"/>
  <c r="AE12" i="1"/>
  <c r="AF12" i="1"/>
  <c r="AG12" i="1"/>
  <c r="AD13" i="1"/>
  <c r="AE13" i="1"/>
  <c r="AF13" i="1"/>
  <c r="AG13" i="1"/>
  <c r="AD14" i="1"/>
  <c r="AE14" i="1"/>
  <c r="AF14" i="1"/>
  <c r="AG14" i="1"/>
  <c r="BO14" i="1" l="1"/>
  <c r="BO13" i="1"/>
  <c r="BO12" i="1"/>
  <c r="F17" i="21" l="1"/>
  <c r="E19" i="21"/>
  <c r="D17" i="21"/>
  <c r="C19" i="21"/>
  <c r="C17" i="21"/>
  <c r="Z17" i="1" l="1"/>
  <c r="Z14" i="1"/>
  <c r="BS56" i="1" l="1"/>
  <c r="BS54" i="1"/>
  <c r="BS53" i="1"/>
  <c r="BS52" i="1"/>
  <c r="BS51" i="1"/>
  <c r="N25" i="1" l="1"/>
  <c r="N24" i="1"/>
  <c r="N23" i="1"/>
  <c r="N18" i="1"/>
  <c r="N17" i="1"/>
  <c r="N16" i="1"/>
  <c r="AZ12" i="1" l="1"/>
  <c r="BI13" i="1"/>
  <c r="BI12" i="1"/>
  <c r="BH13" i="1"/>
  <c r="BH12" i="1"/>
  <c r="AQ17" i="1" l="1"/>
  <c r="AQ16" i="1"/>
  <c r="AQ13" i="1"/>
  <c r="AQ12" i="1"/>
  <c r="BS41" i="1" l="1"/>
  <c r="BS40" i="1"/>
  <c r="BS39" i="1"/>
  <c r="BS38" i="1"/>
  <c r="BS37" i="1"/>
  <c r="BS36" i="1"/>
  <c r="BS35" i="1"/>
  <c r="BS34" i="1"/>
  <c r="BS33" i="1"/>
  <c r="BS32" i="1"/>
  <c r="BS31" i="1"/>
  <c r="BS30" i="1"/>
  <c r="BS29" i="1"/>
  <c r="BS28" i="1"/>
  <c r="BS24" i="1"/>
  <c r="BS16" i="1"/>
  <c r="BS14" i="1"/>
  <c r="L13" i="1" l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N31" i="1" l="1"/>
  <c r="E15" i="1" l="1"/>
  <c r="E17" i="1"/>
  <c r="E19" i="1"/>
  <c r="E21" i="1"/>
  <c r="E23" i="1"/>
  <c r="E16" i="1"/>
  <c r="E20" i="1"/>
  <c r="E25" i="1"/>
  <c r="E24" i="1"/>
  <c r="E18" i="1"/>
  <c r="E22" i="1"/>
  <c r="E26" i="1"/>
  <c r="BW41" i="1" l="1"/>
  <c r="E36" i="51" l="1"/>
  <c r="E38" i="51" s="1"/>
  <c r="E40" i="51" s="1"/>
  <c r="B36" i="51"/>
  <c r="A36" i="51"/>
  <c r="A37" i="51" s="1"/>
  <c r="A38" i="51" s="1"/>
  <c r="A39" i="51" s="1"/>
  <c r="A40" i="51" s="1"/>
  <c r="A41" i="51" s="1"/>
  <c r="A42" i="51" s="1"/>
  <c r="A43" i="51" s="1"/>
  <c r="A35" i="51"/>
  <c r="E41" i="51" l="1"/>
  <c r="E43" i="51" s="1"/>
  <c r="D19" i="51" s="1"/>
  <c r="A2" i="20" l="1"/>
  <c r="AL20" i="1"/>
  <c r="BI17" i="1"/>
  <c r="AG28" i="1"/>
  <c r="Y23" i="1"/>
  <c r="Q23" i="1"/>
  <c r="A5" i="51"/>
  <c r="CH46" i="1" l="1"/>
  <c r="BY46" i="1"/>
  <c r="BT46" i="1"/>
  <c r="C21" i="21" l="1"/>
  <c r="E9" i="51"/>
  <c r="F9" i="51"/>
  <c r="H9" i="51"/>
  <c r="A10" i="5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E17" i="21" l="1"/>
  <c r="D19" i="21"/>
  <c r="D41" i="1" l="1"/>
  <c r="I30" i="1"/>
  <c r="U27" i="1"/>
  <c r="BU14" i="1" l="1"/>
  <c r="D19" i="20" l="1"/>
  <c r="D21" i="20" s="1"/>
  <c r="Z16" i="1"/>
  <c r="AZ15" i="1"/>
  <c r="C27" i="1"/>
  <c r="D27" i="1"/>
  <c r="AH12" i="1"/>
  <c r="AV12" i="1"/>
  <c r="AV14" i="1" s="1"/>
  <c r="BC15" i="1"/>
  <c r="F39" i="1"/>
  <c r="BT24" i="1" s="1"/>
  <c r="AI13" i="1"/>
  <c r="AI14" i="1" s="1"/>
  <c r="AI15" i="1" s="1"/>
  <c r="AI16" i="1" s="1"/>
  <c r="AI17" i="1" s="1"/>
  <c r="AI18" i="1" s="1"/>
  <c r="AI19" i="1" s="1"/>
  <c r="AI20" i="1" s="1"/>
  <c r="AI21" i="1" s="1"/>
  <c r="F2" i="1"/>
  <c r="K2" i="1"/>
  <c r="BF13" i="1"/>
  <c r="BF14" i="1" s="1"/>
  <c r="BF15" i="1" s="1"/>
  <c r="BF16" i="1" s="1"/>
  <c r="BF17" i="1" s="1"/>
  <c r="BF18" i="1" s="1"/>
  <c r="BF19" i="1" s="1"/>
  <c r="BF7" i="1"/>
  <c r="BF4" i="1"/>
  <c r="W13" i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7" i="1"/>
  <c r="W4" i="1"/>
  <c r="BQ6" i="1"/>
  <c r="CA6" i="1"/>
  <c r="AI7" i="1"/>
  <c r="AI4" i="1"/>
  <c r="CC55" i="1"/>
  <c r="CC57" i="1" s="1"/>
  <c r="CC46" i="1" s="1"/>
  <c r="CC26" i="1"/>
  <c r="D49" i="1"/>
  <c r="I38" i="1"/>
  <c r="AP24" i="1"/>
  <c r="BD18" i="1"/>
  <c r="AU18" i="1"/>
  <c r="CC17" i="1"/>
  <c r="CK6" i="1"/>
  <c r="AB13" i="1"/>
  <c r="AB14" i="1" s="1"/>
  <c r="AB15" i="1" s="1"/>
  <c r="AB16" i="1" s="1"/>
  <c r="AB17" i="1" s="1"/>
  <c r="AB18" i="1" s="1"/>
  <c r="AB19" i="1" s="1"/>
  <c r="G13" i="1"/>
  <c r="G14" i="1" s="1"/>
  <c r="G15" i="1" s="1"/>
  <c r="G16" i="1" s="1"/>
  <c r="G17" i="1" s="1"/>
  <c r="G18" i="1" s="1"/>
  <c r="G19" i="1" s="1"/>
  <c r="G20" i="1" s="1"/>
  <c r="G21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BV17" i="1"/>
  <c r="BW17" i="1"/>
  <c r="BZ17" i="1"/>
  <c r="CA14" i="1"/>
  <c r="CA15" i="1" s="1"/>
  <c r="CA16" i="1" s="1"/>
  <c r="CA17" i="1" s="1"/>
  <c r="CA18" i="1" s="1"/>
  <c r="CA19" i="1" s="1"/>
  <c r="CA20" i="1" s="1"/>
  <c r="CA21" i="1" s="1"/>
  <c r="CA22" i="1" s="1"/>
  <c r="CA23" i="1" s="1"/>
  <c r="CA24" i="1" s="1"/>
  <c r="CA25" i="1" s="1"/>
  <c r="CA26" i="1" s="1"/>
  <c r="CA27" i="1" s="1"/>
  <c r="CA28" i="1" s="1"/>
  <c r="CA29" i="1" s="1"/>
  <c r="CI29" i="1" s="1"/>
  <c r="CD17" i="1"/>
  <c r="CF17" i="1"/>
  <c r="CG17" i="1"/>
  <c r="CE17" i="1"/>
  <c r="BV26" i="1"/>
  <c r="BW26" i="1"/>
  <c r="BZ26" i="1"/>
  <c r="CD26" i="1"/>
  <c r="CF26" i="1"/>
  <c r="CG26" i="1"/>
  <c r="CE26" i="1"/>
  <c r="S13" i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AR13" i="1"/>
  <c r="AR14" i="1" s="1"/>
  <c r="AR15" i="1" s="1"/>
  <c r="AR16" i="1" s="1"/>
  <c r="AR17" i="1" s="1"/>
  <c r="AR18" i="1" s="1"/>
  <c r="AR19" i="1" s="1"/>
  <c r="AR20" i="1" s="1"/>
  <c r="O13" i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BK13" i="1"/>
  <c r="BK14" i="1" s="1"/>
  <c r="BK15" i="1" s="1"/>
  <c r="BK16" i="1" s="1"/>
  <c r="CE55" i="1"/>
  <c r="CE57" i="1" s="1"/>
  <c r="CE46" i="1" s="1"/>
  <c r="BA13" i="1"/>
  <c r="BA14" i="1" s="1"/>
  <c r="BA15" i="1" s="1"/>
  <c r="BA16" i="1" s="1"/>
  <c r="BA17" i="1" s="1"/>
  <c r="BA18" i="1" s="1"/>
  <c r="BA19" i="1" s="1"/>
  <c r="BA20" i="1" s="1"/>
  <c r="BA7" i="1"/>
  <c r="BA4" i="1"/>
  <c r="CG55" i="1"/>
  <c r="CG57" i="1" s="1"/>
  <c r="CG46" i="1" s="1"/>
  <c r="AW13" i="1"/>
  <c r="AW14" i="1" s="1"/>
  <c r="AW15" i="1" s="1"/>
  <c r="AW7" i="1"/>
  <c r="AW4" i="1"/>
  <c r="AT14" i="1"/>
  <c r="AR7" i="1"/>
  <c r="AR4" i="1"/>
  <c r="CD55" i="1"/>
  <c r="CD57" i="1" s="1"/>
  <c r="CD46" i="1" s="1"/>
  <c r="CK14" i="1"/>
  <c r="CK15" i="1" s="1"/>
  <c r="CK16" i="1" s="1"/>
  <c r="CK17" i="1" s="1"/>
  <c r="CK18" i="1" s="1"/>
  <c r="CK19" i="1" s="1"/>
  <c r="CK20" i="1" s="1"/>
  <c r="CK21" i="1" s="1"/>
  <c r="CK22" i="1" s="1"/>
  <c r="CK23" i="1" s="1"/>
  <c r="CK24" i="1" s="1"/>
  <c r="CK25" i="1" s="1"/>
  <c r="CK26" i="1" s="1"/>
  <c r="CK27" i="1" s="1"/>
  <c r="CK28" i="1" s="1"/>
  <c r="CK29" i="1" s="1"/>
  <c r="CK30" i="1" s="1"/>
  <c r="CK31" i="1" s="1"/>
  <c r="CK32" i="1" s="1"/>
  <c r="CK33" i="1" s="1"/>
  <c r="CK34" i="1" s="1"/>
  <c r="CK35" i="1" s="1"/>
  <c r="CK36" i="1" s="1"/>
  <c r="CK37" i="1" s="1"/>
  <c r="CK38" i="1" s="1"/>
  <c r="CK39" i="1" s="1"/>
  <c r="CK40" i="1" s="1"/>
  <c r="CK41" i="1" s="1"/>
  <c r="CK42" i="1" s="1"/>
  <c r="CK43" i="1" s="1"/>
  <c r="CK44" i="1" s="1"/>
  <c r="CK45" i="1" s="1"/>
  <c r="CK46" i="1" s="1"/>
  <c r="BQ14" i="1"/>
  <c r="BQ15" i="1" s="1"/>
  <c r="BQ16" i="1" s="1"/>
  <c r="BQ17" i="1" s="1"/>
  <c r="BQ18" i="1" s="1"/>
  <c r="BQ19" i="1" s="1"/>
  <c r="BQ20" i="1" s="1"/>
  <c r="BQ21" i="1" s="1"/>
  <c r="BQ22" i="1" s="1"/>
  <c r="BQ23" i="1" s="1"/>
  <c r="BQ24" i="1" s="1"/>
  <c r="BQ25" i="1" s="1"/>
  <c r="BQ26" i="1" s="1"/>
  <c r="BQ27" i="1" s="1"/>
  <c r="BQ28" i="1" s="1"/>
  <c r="BQ29" i="1" s="1"/>
  <c r="BQ30" i="1" s="1"/>
  <c r="BQ31" i="1" s="1"/>
  <c r="BQ32" i="1" s="1"/>
  <c r="BQ33" i="1" s="1"/>
  <c r="BQ34" i="1" s="1"/>
  <c r="BQ35" i="1" s="1"/>
  <c r="BQ36" i="1" s="1"/>
  <c r="BQ37" i="1" s="1"/>
  <c r="BQ38" i="1" s="1"/>
  <c r="BQ39" i="1" s="1"/>
  <c r="BQ40" i="1" s="1"/>
  <c r="BQ41" i="1" s="1"/>
  <c r="BQ42" i="1" s="1"/>
  <c r="BQ43" i="1" s="1"/>
  <c r="BQ44" i="1" s="1"/>
  <c r="BQ45" i="1" s="1"/>
  <c r="BQ46" i="1" s="1"/>
  <c r="BQ47" i="1" s="1"/>
  <c r="BQ48" i="1" s="1"/>
  <c r="BQ49" i="1" s="1"/>
  <c r="BQ50" i="1" s="1"/>
  <c r="BQ51" i="1" s="1"/>
  <c r="BQ52" i="1" s="1"/>
  <c r="BQ53" i="1" s="1"/>
  <c r="BQ54" i="1" s="1"/>
  <c r="BQ55" i="1" s="1"/>
  <c r="BQ56" i="1" s="1"/>
  <c r="BQ57" i="1" s="1"/>
  <c r="CF55" i="1"/>
  <c r="CF57" i="1" s="1"/>
  <c r="CF46" i="1" s="1"/>
  <c r="AN7" i="1"/>
  <c r="AN4" i="1"/>
  <c r="BZ55" i="1"/>
  <c r="BZ57" i="1" s="1"/>
  <c r="BZ46" i="1" s="1"/>
  <c r="BW55" i="1"/>
  <c r="BW57" i="1" s="1"/>
  <c r="BW46" i="1" s="1"/>
  <c r="BV55" i="1"/>
  <c r="BV57" i="1" s="1"/>
  <c r="BV46" i="1" s="1"/>
  <c r="BU55" i="1"/>
  <c r="BU57" i="1" s="1"/>
  <c r="BU46" i="1" s="1"/>
  <c r="O7" i="1"/>
  <c r="O4" i="1"/>
  <c r="S7" i="1"/>
  <c r="S4" i="1"/>
  <c r="AB7" i="1"/>
  <c r="CL15" i="1"/>
  <c r="CK3" i="1"/>
  <c r="L7" i="1"/>
  <c r="L4" i="1"/>
  <c r="BK4" i="1"/>
  <c r="AB4" i="1"/>
  <c r="BK7" i="1"/>
  <c r="CL44" i="1"/>
  <c r="BU26" i="1"/>
  <c r="CF31" i="1"/>
  <c r="AU14" i="1"/>
  <c r="AH13" i="1"/>
  <c r="BJ12" i="1"/>
  <c r="AH14" i="1"/>
  <c r="F35" i="1"/>
  <c r="N2" i="1"/>
  <c r="R2" i="1"/>
  <c r="V2" i="1"/>
  <c r="AA2" i="1"/>
  <c r="AH2" i="1"/>
  <c r="AQ2" i="1"/>
  <c r="AZ2" i="1"/>
  <c r="BE2" i="1"/>
  <c r="AV2" i="1"/>
  <c r="BJ2" i="1"/>
  <c r="AM2" i="1"/>
  <c r="K16" i="1"/>
  <c r="BE12" i="1"/>
  <c r="BE15" i="1" s="1"/>
  <c r="BD15" i="1"/>
  <c r="CM15" i="1"/>
  <c r="CF42" i="1" l="1"/>
  <c r="CF44" i="1" s="1"/>
  <c r="G9" i="51"/>
  <c r="CK47" i="1"/>
  <c r="CK48" i="1" s="1"/>
  <c r="CK49" i="1" s="1"/>
  <c r="CK50" i="1" s="1"/>
  <c r="CK51" i="1" s="1"/>
  <c r="CK52" i="1" s="1"/>
  <c r="CK53" i="1" s="1"/>
  <c r="CK54" i="1" s="1"/>
  <c r="CK55" i="1" s="1"/>
  <c r="CK56" i="1" s="1"/>
  <c r="CK57" i="1" s="1"/>
  <c r="AB20" i="1"/>
  <c r="AB21" i="1" s="1"/>
  <c r="AB22" i="1" s="1"/>
  <c r="AB23" i="1" s="1"/>
  <c r="AB24" i="1" s="1"/>
  <c r="AB25" i="1" s="1"/>
  <c r="AB26" i="1" s="1"/>
  <c r="AB27" i="1" s="1"/>
  <c r="AB28" i="1" s="1"/>
  <c r="AB29" i="1" s="1"/>
  <c r="CI15" i="1"/>
  <c r="CJ15" i="1" s="1"/>
  <c r="E41" i="1"/>
  <c r="BT34" i="1" s="1"/>
  <c r="BT14" i="1"/>
  <c r="E27" i="1"/>
  <c r="G22" i="1"/>
  <c r="G23" i="1" s="1"/>
  <c r="BT26" i="1"/>
  <c r="CA30" i="1"/>
  <c r="CI30" i="1" s="1"/>
  <c r="BK17" i="1"/>
  <c r="BK18" i="1" s="1"/>
  <c r="BL19" i="1"/>
  <c r="BE17" i="1"/>
  <c r="CG34" i="1"/>
  <c r="CE34" i="1"/>
  <c r="AV16" i="1"/>
  <c r="AH16" i="1"/>
  <c r="AG21" i="1" l="1"/>
  <c r="BT17" i="1"/>
  <c r="G24" i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CN15" i="1"/>
  <c r="CA31" i="1"/>
  <c r="CA32" i="1" s="1"/>
  <c r="BK19" i="1"/>
  <c r="CN29" i="1"/>
  <c r="BE18" i="1"/>
  <c r="CG40" i="1" s="1"/>
  <c r="CG42" i="1" s="1"/>
  <c r="CG44" i="1" s="1"/>
  <c r="AV18" i="1"/>
  <c r="CE40" i="1" s="1"/>
  <c r="CE42" i="1" s="1"/>
  <c r="CE44" i="1" s="1"/>
  <c r="BK20" i="1" l="1"/>
  <c r="BL20" i="1"/>
  <c r="F19" i="21"/>
  <c r="C20" i="20"/>
  <c r="E20" i="20" s="1"/>
  <c r="D21" i="21"/>
  <c r="CO15" i="1"/>
  <c r="CA33" i="1"/>
  <c r="CN30" i="1"/>
  <c r="BE20" i="1"/>
  <c r="AV20" i="1"/>
  <c r="Q16" i="1" l="1"/>
  <c r="F21" i="21"/>
  <c r="CA34" i="1"/>
  <c r="CA35" i="1" s="1"/>
  <c r="CI35" i="1" s="1"/>
  <c r="CA36" i="1" l="1"/>
  <c r="CI36" i="1" s="1"/>
  <c r="CA37" i="1" l="1"/>
  <c r="CI37" i="1" s="1"/>
  <c r="CN35" i="1"/>
  <c r="CN36" i="1" l="1"/>
  <c r="CA38" i="1"/>
  <c r="CI38" i="1" s="1"/>
  <c r="CN37" i="1" l="1"/>
  <c r="CA39" i="1"/>
  <c r="CA40" i="1" s="1"/>
  <c r="CA41" i="1" s="1"/>
  <c r="CN38" i="1" l="1"/>
  <c r="CA42" i="1"/>
  <c r="CA43" i="1" s="1"/>
  <c r="CA44" i="1" s="1"/>
  <c r="CA45" i="1" s="1"/>
  <c r="CA46" i="1" s="1"/>
  <c r="CA47" i="1" s="1"/>
  <c r="CA48" i="1" s="1"/>
  <c r="CA49" i="1" s="1"/>
  <c r="CA50" i="1" s="1"/>
  <c r="CA51" i="1" s="1"/>
  <c r="CA52" i="1" s="1"/>
  <c r="CA53" i="1" s="1"/>
  <c r="CI52" i="1" l="1"/>
  <c r="CN52" i="1" l="1"/>
  <c r="CI53" i="1"/>
  <c r="CN53" i="1" l="1"/>
  <c r="CA54" i="1"/>
  <c r="CI54" i="1" s="1"/>
  <c r="CA55" i="1" l="1"/>
  <c r="CA56" i="1" s="1"/>
  <c r="CI56" i="1" s="1"/>
  <c r="CN54" i="1" l="1"/>
  <c r="CN56" i="1"/>
  <c r="CA57" i="1"/>
  <c r="CJ54" i="1" l="1"/>
  <c r="CM54" i="1"/>
  <c r="CO54" i="1" s="1"/>
  <c r="CM53" i="1" l="1"/>
  <c r="CO53" i="1" s="1"/>
  <c r="CJ53" i="1"/>
  <c r="CM52" i="1"/>
  <c r="CO52" i="1" s="1"/>
  <c r="CJ52" i="1"/>
  <c r="CM51" i="1" l="1"/>
  <c r="BS55" i="1"/>
  <c r="CM55" i="1" l="1"/>
  <c r="CM56" i="1" l="1"/>
  <c r="CJ56" i="1"/>
  <c r="BS57" i="1"/>
  <c r="BS46" i="1" s="1"/>
  <c r="CM46" i="1" l="1"/>
  <c r="CO56" i="1"/>
  <c r="CM57" i="1"/>
  <c r="AM13" i="1" l="1"/>
  <c r="CC34" i="1" l="1"/>
  <c r="U26" i="1" l="1"/>
  <c r="D40" i="1"/>
  <c r="E40" i="1" s="1"/>
  <c r="BT31" i="1" s="1"/>
  <c r="I29" i="1"/>
  <c r="F42" i="1" l="1"/>
  <c r="D44" i="1"/>
  <c r="E44" i="1" s="1"/>
  <c r="BT39" i="1" s="1"/>
  <c r="U28" i="1"/>
  <c r="I33" i="1"/>
  <c r="BO16" i="1"/>
  <c r="BO18" i="1" s="1"/>
  <c r="BO19" i="1" l="1"/>
  <c r="BO20" i="1" s="1"/>
  <c r="F45" i="1"/>
  <c r="F47" i="1" s="1"/>
  <c r="F49" i="1" s="1"/>
  <c r="BT40" i="1" l="1"/>
  <c r="F50" i="1"/>
  <c r="BT42" i="1" l="1"/>
  <c r="BT44" i="1" s="1"/>
  <c r="E13" i="51" l="1"/>
  <c r="AK16" i="1" l="1"/>
  <c r="AM15" i="1" l="1"/>
  <c r="AL16" i="1"/>
  <c r="CC39" i="1" l="1"/>
  <c r="AM16" i="1"/>
  <c r="AM18" i="1" s="1"/>
  <c r="AM20" i="1" l="1"/>
  <c r="CC40" i="1" s="1"/>
  <c r="CC42" i="1" s="1"/>
  <c r="CC44" i="1" s="1"/>
  <c r="AM21" i="1" l="1"/>
  <c r="AQ18" i="1" l="1"/>
  <c r="CD34" i="1" s="1"/>
  <c r="Z18" i="1" l="1"/>
  <c r="AA18" i="1" s="1"/>
  <c r="AA21" i="1" s="1"/>
  <c r="AA23" i="1" l="1"/>
  <c r="BY40" i="1" s="1"/>
  <c r="BY34" i="1"/>
  <c r="BY42" i="1" l="1"/>
  <c r="BY44" i="1" s="1"/>
  <c r="AA24" i="1"/>
  <c r="F13" i="51" l="1"/>
  <c r="CI51" i="1" l="1"/>
  <c r="CJ51" i="1" s="1"/>
  <c r="CJ55" i="1" s="1"/>
  <c r="CJ57" i="1" s="1"/>
  <c r="CN51" i="1"/>
  <c r="BX55" i="1"/>
  <c r="BX57" i="1" s="1"/>
  <c r="BX46" i="1" s="1"/>
  <c r="CN55" i="1" l="1"/>
  <c r="CN57" i="1" s="1"/>
  <c r="CO51" i="1"/>
  <c r="CI55" i="1"/>
  <c r="CI57" i="1" s="1"/>
  <c r="CI46" i="1" s="1"/>
  <c r="CO55" i="1" l="1"/>
  <c r="CO57" i="1" s="1"/>
  <c r="CJ46" i="1"/>
  <c r="CN46" i="1"/>
  <c r="CO46" i="1" l="1"/>
  <c r="Q12" i="1" l="1"/>
  <c r="Q14" i="1" s="1"/>
  <c r="R17" i="1" s="1"/>
  <c r="D10" i="51"/>
  <c r="C8" i="20"/>
  <c r="E8" i="20" l="1"/>
  <c r="E19" i="20" s="1"/>
  <c r="E21" i="20" s="1"/>
  <c r="C19" i="20"/>
  <c r="C21" i="20" s="1"/>
  <c r="R21" i="1"/>
  <c r="R23" i="1" s="1"/>
  <c r="C16" i="20"/>
  <c r="D12" i="51"/>
  <c r="E10" i="51"/>
  <c r="E16" i="20" l="1"/>
  <c r="F10" i="51"/>
  <c r="E12" i="51"/>
  <c r="R24" i="1"/>
  <c r="BW40" i="1"/>
  <c r="BW42" i="1" l="1"/>
  <c r="F12" i="51"/>
  <c r="G10" i="51"/>
  <c r="BW44" i="1" l="1"/>
  <c r="G12" i="51"/>
  <c r="H10" i="51"/>
  <c r="I10" i="51" l="1"/>
  <c r="I12" i="51" s="1"/>
  <c r="H12" i="51"/>
  <c r="O6" i="1" l="1"/>
  <c r="L6" i="1"/>
  <c r="BF6" i="1"/>
  <c r="BK6" i="1"/>
  <c r="A7" i="21"/>
  <c r="AW6" i="1"/>
  <c r="AI6" i="1"/>
  <c r="BA6" i="1"/>
  <c r="W6" i="1"/>
  <c r="CA5" i="1"/>
  <c r="BQ5" i="1"/>
  <c r="AN6" i="1"/>
  <c r="S6" i="1"/>
  <c r="AR6" i="1"/>
  <c r="AB6" i="1"/>
  <c r="G6" i="1"/>
  <c r="CK5" i="1"/>
  <c r="AQ14" i="1" l="1"/>
  <c r="AQ20" i="1" l="1"/>
  <c r="AQ22" i="1"/>
  <c r="CD39" i="1"/>
  <c r="AQ24" i="1" l="1"/>
  <c r="CD40" i="1" s="1"/>
  <c r="AQ26" i="1" l="1"/>
  <c r="CD42" i="1"/>
  <c r="CD44" i="1" s="1"/>
  <c r="CM40" i="1" l="1"/>
  <c r="CM37" i="1"/>
  <c r="CO37" i="1" s="1"/>
  <c r="CJ37" i="1"/>
  <c r="CM33" i="1"/>
  <c r="CM30" i="1" l="1"/>
  <c r="CO30" i="1" s="1"/>
  <c r="CJ30" i="1"/>
  <c r="BS26" i="1"/>
  <c r="CM24" i="1"/>
  <c r="CM16" i="1"/>
  <c r="BS17" i="1"/>
  <c r="CM14" i="1"/>
  <c r="CM28" i="1"/>
  <c r="CJ29" i="1"/>
  <c r="CM29" i="1"/>
  <c r="CO29" i="1" s="1"/>
  <c r="CM38" i="1"/>
  <c r="CO38" i="1" s="1"/>
  <c r="CJ38" i="1"/>
  <c r="CM26" i="1" l="1"/>
  <c r="CM32" i="1"/>
  <c r="CM17" i="1"/>
  <c r="CM41" i="1" l="1"/>
  <c r="CM39" i="1"/>
  <c r="CM34" i="1" l="1"/>
  <c r="CM31" i="1"/>
  <c r="BS42" i="1"/>
  <c r="BS44" i="1" s="1"/>
  <c r="CM36" i="1"/>
  <c r="CO36" i="1" s="1"/>
  <c r="CJ36" i="1"/>
  <c r="CM35" i="1"/>
  <c r="CO35" i="1" s="1"/>
  <c r="CJ35" i="1"/>
  <c r="BS48" i="1" l="1"/>
  <c r="CM48" i="1" s="1"/>
  <c r="CM42" i="1"/>
  <c r="CM44" i="1" s="1"/>
  <c r="N30" i="1" l="1"/>
  <c r="BV41" i="1" s="1"/>
  <c r="CI41" i="1" s="1"/>
  <c r="CN41" i="1" l="1"/>
  <c r="CO41" i="1" s="1"/>
  <c r="CJ41" i="1"/>
  <c r="AG20" i="1" l="1"/>
  <c r="AG22" i="1" l="1"/>
  <c r="AH25" i="1" s="1"/>
  <c r="BZ31" i="1" s="1"/>
  <c r="AH27" i="1" l="1"/>
  <c r="AH28" i="1"/>
  <c r="BZ40" i="1" s="1"/>
  <c r="BZ42" i="1" s="1"/>
  <c r="BZ44" i="1" s="1"/>
  <c r="AH29" i="1" l="1"/>
  <c r="G13" i="51"/>
  <c r="BH14" i="1" l="1"/>
  <c r="BJ13" i="1" l="1"/>
  <c r="BJ14" i="1" s="1"/>
  <c r="BJ16" i="1" s="1"/>
  <c r="BI14" i="1"/>
  <c r="CH34" i="1" l="1"/>
  <c r="BJ17" i="1"/>
  <c r="CH40" i="1" s="1"/>
  <c r="BJ19" i="1" l="1"/>
  <c r="CH42" i="1"/>
  <c r="CH44" i="1" s="1"/>
  <c r="H13" i="51" l="1"/>
  <c r="N22" i="1" l="1"/>
  <c r="N27" i="1" s="1"/>
  <c r="N12" i="1" l="1"/>
  <c r="N15" i="1" l="1"/>
  <c r="N29" i="1" l="1"/>
  <c r="N19" i="1"/>
  <c r="BV40" i="1" l="1"/>
  <c r="N32" i="1"/>
  <c r="BV42" i="1" l="1"/>
  <c r="BV44" i="1" s="1"/>
  <c r="V34" i="1" l="1"/>
  <c r="V37" i="1" l="1"/>
  <c r="V36" i="1" l="1"/>
  <c r="BX28" i="1" s="1"/>
  <c r="CI28" i="1" s="1"/>
  <c r="V35" i="1"/>
  <c r="BX24" i="1" s="1"/>
  <c r="V33" i="1"/>
  <c r="BX33" i="1" s="1"/>
  <c r="CI33" i="1" s="1"/>
  <c r="V18" i="1"/>
  <c r="BX16" i="1" s="1"/>
  <c r="V32" i="1" l="1"/>
  <c r="CN33" i="1"/>
  <c r="CO33" i="1" s="1"/>
  <c r="CJ33" i="1"/>
  <c r="BX26" i="1"/>
  <c r="CI26" i="1" s="1"/>
  <c r="CJ26" i="1" s="1"/>
  <c r="CI24" i="1"/>
  <c r="CN28" i="1"/>
  <c r="CO28" i="1" s="1"/>
  <c r="CJ28" i="1"/>
  <c r="V17" i="1" l="1"/>
  <c r="CN24" i="1"/>
  <c r="CJ24" i="1"/>
  <c r="BX32" i="1"/>
  <c r="CI32" i="1" s="1"/>
  <c r="V38" i="1"/>
  <c r="CN26" i="1" l="1"/>
  <c r="CO24" i="1"/>
  <c r="CO26" i="1" s="1"/>
  <c r="CN32" i="1"/>
  <c r="CO32" i="1" s="1"/>
  <c r="CJ32" i="1"/>
  <c r="J22" i="1" l="1"/>
  <c r="K25" i="1" s="1"/>
  <c r="BU16" i="1" l="1"/>
  <c r="K27" i="1"/>
  <c r="J30" i="1" l="1"/>
  <c r="BU34" i="1" s="1"/>
  <c r="J29" i="1"/>
  <c r="J33" i="1"/>
  <c r="BU17" i="1"/>
  <c r="CI16" i="1"/>
  <c r="BU31" i="1" l="1"/>
  <c r="K31" i="1"/>
  <c r="CN16" i="1"/>
  <c r="CJ16" i="1"/>
  <c r="BU39" i="1"/>
  <c r="K35" i="1"/>
  <c r="K37" i="1" s="1"/>
  <c r="K38" i="1" l="1"/>
  <c r="BU40" i="1" s="1"/>
  <c r="CO16" i="1"/>
  <c r="K39" i="1" l="1"/>
  <c r="BU42" i="1"/>
  <c r="BU44" i="1" s="1"/>
  <c r="V16" i="1" l="1"/>
  <c r="V19" i="1" l="1"/>
  <c r="BX14" i="1" l="1"/>
  <c r="V23" i="1"/>
  <c r="BX39" i="1" l="1"/>
  <c r="CI39" i="1" s="1"/>
  <c r="BX34" i="1"/>
  <c r="CI34" i="1" s="1"/>
  <c r="CI14" i="1"/>
  <c r="BX17" i="1"/>
  <c r="CI17" i="1" s="1"/>
  <c r="CJ17" i="1" s="1"/>
  <c r="CJ14" i="1" l="1"/>
  <c r="CN14" i="1"/>
  <c r="CN34" i="1"/>
  <c r="CO34" i="1" s="1"/>
  <c r="CJ34" i="1"/>
  <c r="CN39" i="1"/>
  <c r="CO39" i="1" s="1"/>
  <c r="CJ39" i="1"/>
  <c r="V29" i="1"/>
  <c r="V40" i="1" s="1"/>
  <c r="BX31" i="1"/>
  <c r="CI31" i="1" l="1"/>
  <c r="V41" i="1"/>
  <c r="BX40" i="1" s="1"/>
  <c r="CO14" i="1"/>
  <c r="CO17" i="1" s="1"/>
  <c r="CN17" i="1"/>
  <c r="CN31" i="1" l="1"/>
  <c r="CJ31" i="1"/>
  <c r="V42" i="1"/>
  <c r="CI40" i="1"/>
  <c r="CI42" i="1" s="1"/>
  <c r="CI44" i="1" s="1"/>
  <c r="BX42" i="1"/>
  <c r="BX44" i="1" s="1"/>
  <c r="CJ40" i="1" l="1"/>
  <c r="CJ42" i="1" s="1"/>
  <c r="CJ44" i="1" s="1"/>
  <c r="CN40" i="1"/>
  <c r="CO40" i="1" s="1"/>
  <c r="CO31" i="1"/>
  <c r="CO42" i="1" l="1"/>
  <c r="CO44" i="1" s="1"/>
  <c r="CO48" i="1" s="1"/>
  <c r="CJ48" i="1"/>
  <c r="CN42" i="1"/>
  <c r="CN44" i="1" s="1"/>
  <c r="C7" i="20" l="1"/>
  <c r="D14" i="51"/>
  <c r="D22" i="51" s="1"/>
  <c r="C15" i="20" l="1"/>
  <c r="E14" i="51"/>
  <c r="E22" i="51" s="1"/>
  <c r="D15" i="51"/>
  <c r="D16" i="51" s="1"/>
  <c r="D18" i="51" s="1"/>
  <c r="D20" i="51" s="1"/>
  <c r="C10" i="20"/>
  <c r="E15" i="51"/>
  <c r="E16" i="51" s="1"/>
  <c r="E18" i="51" s="1"/>
  <c r="F14" i="51"/>
  <c r="C17" i="20"/>
  <c r="E20" i="51" l="1"/>
  <c r="F22" i="51"/>
  <c r="F15" i="51"/>
  <c r="F16" i="51" s="1"/>
  <c r="F18" i="51" s="1"/>
  <c r="F20" i="51" s="1"/>
  <c r="G14" i="51"/>
  <c r="C23" i="20"/>
  <c r="H14" i="51" l="1"/>
  <c r="G22" i="51"/>
  <c r="G15" i="51"/>
  <c r="G16" i="51" s="1"/>
  <c r="G18" i="51" s="1"/>
  <c r="G20" i="51" s="1"/>
  <c r="H15" i="51" l="1"/>
  <c r="H16" i="51" s="1"/>
  <c r="H18" i="51" s="1"/>
  <c r="H22" i="51"/>
  <c r="I14" i="51"/>
  <c r="I15" i="51" l="1"/>
  <c r="I16" i="51" s="1"/>
  <c r="I22" i="51"/>
  <c r="I23" i="51" s="1"/>
  <c r="I18" i="51"/>
  <c r="H20" i="51"/>
  <c r="I20" i="51" l="1"/>
  <c r="D7" i="20"/>
  <c r="D15" i="20" l="1"/>
  <c r="D17" i="20" s="1"/>
  <c r="E7" i="20"/>
  <c r="E15" i="20" l="1"/>
  <c r="E17" i="20" s="1"/>
  <c r="E23" i="20" s="1"/>
  <c r="D23" i="20" s="1"/>
  <c r="E10" i="20"/>
  <c r="D10" i="20" s="1"/>
</calcChain>
</file>

<file path=xl/sharedStrings.xml><?xml version="1.0" encoding="utf-8"?>
<sst xmlns="http://schemas.openxmlformats.org/spreadsheetml/2006/main" count="558" uniqueCount="337">
  <si>
    <t>OPERATING REVENUES:</t>
  </si>
  <si>
    <t>SALES TO CUSTOMERS</t>
  </si>
  <si>
    <t>OTHER OPERATING REVENUES</t>
  </si>
  <si>
    <t>TOTAL OPERATING REVENUES</t>
  </si>
  <si>
    <t>OPERATING REVENUE DEDUCTIONS:</t>
  </si>
  <si>
    <t>TOTAL PRODUCTION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</si>
  <si>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</si>
  <si>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</si>
  <si>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</si>
  <si>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</si>
  <si>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</si>
  <si>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</si>
  <si>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OTHER OPERATING EXPENSES</t>
  </si>
  <si>
    <t>TAXES OTHER THAN F.I.T.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</si>
  <si>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</si>
  <si>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</si>
  <si>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</si>
  <si>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</si>
  <si>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</si>
  <si>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</si>
  <si>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 xml:space="preserve"> </t>
  </si>
  <si>
    <t>PUGET SOUND ENERGY-GAS</t>
  </si>
  <si>
    <t>CONVERSION FACTOR</t>
  </si>
  <si>
    <t>RESULTS OF OPERATIONS</t>
  </si>
  <si>
    <t>&gt;</t>
  </si>
  <si>
    <t>LINE</t>
  </si>
  <si>
    <t xml:space="preserve">LINE </t>
  </si>
  <si>
    <t>ACTUAL RESULTS OF</t>
  </si>
  <si>
    <t xml:space="preserve">FEDERAL </t>
  </si>
  <si>
    <t>TAX BENEFIT OF</t>
  </si>
  <si>
    <t xml:space="preserve">BAD </t>
  </si>
  <si>
    <t>ACTUAL</t>
  </si>
  <si>
    <t>TOTAL</t>
  </si>
  <si>
    <t>NO.</t>
  </si>
  <si>
    <t>DESCRIPTION</t>
  </si>
  <si>
    <t>RESTATED</t>
  </si>
  <si>
    <t>AMOUNT</t>
  </si>
  <si>
    <t>ADJUSTMENT</t>
  </si>
  <si>
    <t>OPERATIONS</t>
  </si>
  <si>
    <t>AMORTIZATION</t>
  </si>
  <si>
    <t>INCOME TAX</t>
  </si>
  <si>
    <t>RESTATED INTEREST</t>
  </si>
  <si>
    <t>DEBTS</t>
  </si>
  <si>
    <t>ADJUSTMENTS</t>
  </si>
  <si>
    <t>RESULTS OF</t>
  </si>
  <si>
    <t>BASE</t>
  </si>
  <si>
    <t>RATE</t>
  </si>
  <si>
    <t>1</t>
  </si>
  <si>
    <t>TAXABLE INCOME</t>
  </si>
  <si>
    <t>-</t>
  </si>
  <si>
    <t>OPERATING REVENUES</t>
  </si>
  <si>
    <t>INCREASE (DECREASE) EXPENSE</t>
  </si>
  <si>
    <t>INCREASE(DECREASE) EXPENSE</t>
  </si>
  <si>
    <t>MUNICIPAL ADDITIONS</t>
  </si>
  <si>
    <t>INCREASE (DECREASE) IN EXPENSE</t>
  </si>
  <si>
    <t>INCREASE(DECREASE) NOI</t>
  </si>
  <si>
    <t>INCREASE (DECREASE) NOI</t>
  </si>
  <si>
    <t>INCREASE(DECREASE) FIT</t>
  </si>
  <si>
    <t>FEDERAL INCOME TAX</t>
  </si>
  <si>
    <t>OTHER POWER SUPPLY EXPENSES</t>
  </si>
  <si>
    <t>CUSTOMER ACCOUNT EXPENSES</t>
  </si>
  <si>
    <t xml:space="preserve">   </t>
  </si>
  <si>
    <t>AMORTIZATION OF PROPERTY LOSS</t>
  </si>
  <si>
    <t>RATE BASE</t>
  </si>
  <si>
    <t>QUALIFIED RETIREMENT FUND</t>
  </si>
  <si>
    <t>STATEMENT OF OPERATING INCOME AND ADJUSTMENTS</t>
  </si>
  <si>
    <t>OTHER ENERGY SUPPLY EXPENSES</t>
  </si>
  <si>
    <t>WEIGHTED COST OF DEBT</t>
  </si>
  <si>
    <t xml:space="preserve">INCREASE (DECREASE) FIT @ </t>
  </si>
  <si>
    <t>RATE BASE: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</si>
  <si>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</si>
  <si>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</si>
  <si>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</si>
  <si>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ALLOWANCE FOR WORKING CAPITAL</t>
  </si>
  <si>
    <t>TOTAL RATE BASE</t>
  </si>
  <si>
    <t>TOTAL NET INVESTMENT</t>
  </si>
  <si>
    <t>ADJUSTED</t>
  </si>
  <si>
    <t xml:space="preserve">  DEPRECIATION AND OTHER LIABILITIES</t>
  </si>
  <si>
    <t>RESTATED EXCISE TAXES</t>
  </si>
  <si>
    <t>CHARGED TO EXPENSE FOR TEST YEAR</t>
  </si>
  <si>
    <t>INCREASE(DECREASE) EXCISE TAX</t>
  </si>
  <si>
    <t>INCREASE(DECREASE) WUTC FILING FEE</t>
  </si>
  <si>
    <t>RESTATED WUTC FILING FEE</t>
  </si>
  <si>
    <t>INCREASE (DECREASE) FIT</t>
  </si>
  <si>
    <t>BAD DEBTS</t>
  </si>
  <si>
    <t>EXCISE TAX &amp; FILING FEE</t>
  </si>
  <si>
    <t>EXCISE TAX &amp;</t>
  </si>
  <si>
    <t>FILING FEE</t>
  </si>
  <si>
    <t>GAS COSTS:</t>
  </si>
  <si>
    <t xml:space="preserve"> PURCHASED GAS</t>
  </si>
  <si>
    <t>DEPRECIATION</t>
  </si>
  <si>
    <t>COMMISSION BASIS REPORT</t>
  </si>
  <si>
    <t>TEST YEAR</t>
  </si>
  <si>
    <t>TAX BENEFIT OF RESTATED INTEREST</t>
  </si>
  <si>
    <t>INCREASE(DECREASE) OPERATING INCOME</t>
  </si>
  <si>
    <t>UNCOLLECTIBLES CHARGED TO EXPENSE IN TEST YEAR</t>
  </si>
  <si>
    <t>INCREASE (DECREASE) OPERATING INCOME</t>
  </si>
  <si>
    <t>INCREASE (DECREASE) FIT @</t>
  </si>
  <si>
    <t>D&amp;O INSURANCE</t>
  </si>
  <si>
    <t>D &amp; O INS. CHG  EXPENSE</t>
  </si>
  <si>
    <t>D&amp;O</t>
  </si>
  <si>
    <t>INSURANCE</t>
  </si>
  <si>
    <t>PERCENT</t>
  </si>
  <si>
    <t>NET</t>
  </si>
  <si>
    <t>GROSS</t>
  </si>
  <si>
    <t>WRITEOFFS</t>
  </si>
  <si>
    <t>REVENUES</t>
  </si>
  <si>
    <t>TO REVENUE</t>
  </si>
  <si>
    <t>YEAR</t>
  </si>
  <si>
    <t>TOTAL INCREASE (DECREASE) EXPENSE</t>
  </si>
  <si>
    <t>INTEREST ON CUSTOMER DEPOSITS</t>
  </si>
  <si>
    <t>INTEREST EXPENSE FOR TEST YEAR</t>
  </si>
  <si>
    <t xml:space="preserve">INTEREST ON </t>
  </si>
  <si>
    <t>CUST DEPOSITS</t>
  </si>
  <si>
    <t>PENSION PLAN</t>
  </si>
  <si>
    <t>INCREASE (DECREASE ) IN EXPENSE</t>
  </si>
  <si>
    <t>INCREASE (DECREASE) INCOME</t>
  </si>
  <si>
    <t xml:space="preserve">PENSION </t>
  </si>
  <si>
    <t>PLAN</t>
  </si>
  <si>
    <t>a</t>
  </si>
  <si>
    <t>b</t>
  </si>
  <si>
    <t>c=a/b</t>
  </si>
  <si>
    <t>d=a</t>
  </si>
  <si>
    <t>e</t>
  </si>
  <si>
    <t>f=d-e</t>
  </si>
  <si>
    <t>g=b</t>
  </si>
  <si>
    <t>h</t>
  </si>
  <si>
    <t>Equity Rate Base</t>
  </si>
  <si>
    <t>i=g*h</t>
  </si>
  <si>
    <t>j=f/i</t>
  </si>
  <si>
    <t>Restated Net Operating Income</t>
  </si>
  <si>
    <t>Restated Rate Base</t>
  </si>
  <si>
    <t>Actual Equity Percent</t>
  </si>
  <si>
    <t>Restated Return on Actual Equity</t>
  </si>
  <si>
    <t>Normalized Overall Rate of Return</t>
  </si>
  <si>
    <t>TEMPERATURE NORMALIZATION ADJUSTMENT:</t>
  </si>
  <si>
    <t>TEMP ADJ</t>
  </si>
  <si>
    <t>THERMS</t>
  </si>
  <si>
    <t>CHANGE</t>
  </si>
  <si>
    <t>REVENUE ADJUSTMENT:</t>
  </si>
  <si>
    <t>INCREASE (DECREASE) SALES TO CUSTOMERS</t>
  </si>
  <si>
    <t>UNCOLLECTIBLES @</t>
  </si>
  <si>
    <t>ANNUAL FILING FEE @</t>
  </si>
  <si>
    <t>STATE UTILITY TAX @</t>
  </si>
  <si>
    <t>INCREASE (DECREASE) TAXES OTHER</t>
  </si>
  <si>
    <t>TEMPERATURE</t>
  </si>
  <si>
    <t>NORMALIZATION</t>
  </si>
  <si>
    <t>SALES TO CUSTOMERS:</t>
  </si>
  <si>
    <t>TOTAL INCREASE (DECREASE) SALES TO CUSTOMERS</t>
  </si>
  <si>
    <t>TOTAL INCREASE (DECREASE) REVENUES</t>
  </si>
  <si>
    <t>OPERATING EXPENSES:</t>
  </si>
  <si>
    <t>PURCHASED GAS COSTS</t>
  </si>
  <si>
    <t>REMOVE REVENUES ASSOCIATED WITH RIDERS:</t>
  </si>
  <si>
    <t>REMOVE LOW INCOME RIDER - SCHEDULE 129</t>
  </si>
  <si>
    <t>REMOVE CONSERVATION TRACKER - SCHEDULE 120</t>
  </si>
  <si>
    <t>REMOVE REVENUE ASSOC WITH PGA AMORTIZATION - SCHEDULE 106</t>
  </si>
  <si>
    <t>TOTAL (INCREASE) DECREASE REVENUES</t>
  </si>
  <si>
    <t>DECREASE REVENUE SENSITIVE ITEMS FOR DECREASE IN REVENUES:</t>
  </si>
  <si>
    <t>ANNUAL FILING FEE</t>
  </si>
  <si>
    <t xml:space="preserve">STATE UTILITY TAX </t>
  </si>
  <si>
    <t xml:space="preserve">TOTAL </t>
  </si>
  <si>
    <t>REMOVE EXPENSES ASSOCIATED WITH RIDERS</t>
  </si>
  <si>
    <t>REMOVE LOW INCOME AMORTIZATION - SCHEDULE 129</t>
  </si>
  <si>
    <t>REMOVE CONSERVATION AMORTIZATION - SCHEDULE 120</t>
  </si>
  <si>
    <t>REMOVE PGA DEFERRAL AMORTIZATION EXP - SCHEDULE 106</t>
  </si>
  <si>
    <t>INCREASE (DECREASE) OPERATING INCOME BEFORE FIT</t>
  </si>
  <si>
    <t>PASS-THROUGH</t>
  </si>
  <si>
    <t>SUM OF TAXES OTHER</t>
  </si>
  <si>
    <t>STATE UTILITY TAX ( 3.852% - ( LINE 1 * 3.852% )  )</t>
  </si>
  <si>
    <t>INCREASE(DECREASE ) IN INCOME</t>
  </si>
  <si>
    <t>TEMPERATURE NORMALIZATION</t>
  </si>
  <si>
    <t>PASS-THROUGH REVENUE &amp; EXPENSE</t>
  </si>
  <si>
    <t>REVENUE &amp; EXPENSE</t>
  </si>
  <si>
    <t>REVENUE &amp; EXPENSE RESTATING</t>
  </si>
  <si>
    <t>&amp; EXPENSE</t>
  </si>
  <si>
    <t>REVENUE</t>
  </si>
  <si>
    <t>NET RATE BASE</t>
  </si>
  <si>
    <t>OTHER</t>
  </si>
  <si>
    <t>OPERATING</t>
  </si>
  <si>
    <t>Restated Interest Expense</t>
  </si>
  <si>
    <t>Restated NOI less Restated Interest Exp</t>
  </si>
  <si>
    <t>INCENTIVE</t>
  </si>
  <si>
    <t>PAY</t>
  </si>
  <si>
    <t>INCENTIVE PAY</t>
  </si>
  <si>
    <t>PAYROLL TAXES ASSOC WITH MERIT PAY</t>
  </si>
  <si>
    <t>INCREASE (DECREASE) OPERATING EXPENSE</t>
  </si>
  <si>
    <t>INCREASE(DECREASE) FIT @</t>
  </si>
  <si>
    <t>PUGET SOUND ENERGY, INC.</t>
  </si>
  <si>
    <t>Utility Capital Structure</t>
  </si>
  <si>
    <t>Cost of Capital and Rate of Return</t>
  </si>
  <si>
    <t>(A)</t>
  </si>
  <si>
    <t>(B)</t>
  </si>
  <si>
    <t>(C)</t>
  </si>
  <si>
    <t>(D)</t>
  </si>
  <si>
    <t>(E)</t>
  </si>
  <si>
    <t>Weighted</t>
  </si>
  <si>
    <t>Cost of</t>
  </si>
  <si>
    <t>Description</t>
  </si>
  <si>
    <t>Amount (i)</t>
  </si>
  <si>
    <t>Ratio</t>
  </si>
  <si>
    <t>Cost</t>
  </si>
  <si>
    <t>Capital</t>
  </si>
  <si>
    <t>Common Stock</t>
  </si>
  <si>
    <t>Total</t>
  </si>
  <si>
    <r>
      <t>(i)</t>
    </r>
    <r>
      <rPr>
        <sz val="10"/>
        <rFont val="Arial"/>
        <family val="2"/>
      </rPr>
      <t xml:space="preserve"> - Average of Month-End Balances</t>
    </r>
  </si>
  <si>
    <t xml:space="preserve">RESTATED </t>
  </si>
  <si>
    <t>RATE CASE</t>
  </si>
  <si>
    <t>EXPENSES</t>
  </si>
  <si>
    <t>RATE CASE EXPENSES</t>
  </si>
  <si>
    <t>EXPENSES TO BE NORMALIZED:</t>
  </si>
  <si>
    <t>ANNUAL NORMALIZATION (LINE 3 / 2)</t>
  </si>
  <si>
    <t>LESS TEST YEAR EXPENSE:  GRC DIRECT CHARGES TO O&amp;M</t>
  </si>
  <si>
    <t>INJURIES</t>
  </si>
  <si>
    <t>AND DAMAGES</t>
  </si>
  <si>
    <t>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</si>
  <si>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</si>
  <si>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</si>
  <si>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</si>
  <si>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</si>
  <si>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REMOVE MUNICIPAL TAXES ASSOC WITH SALES TO CUSTOMERS</t>
  </si>
  <si>
    <t>REMOVE MUNICIPAL TAXES ASSOC WITH OTHER OPRTG REV</t>
  </si>
  <si>
    <t>REMOVE CARBON OFFSET - SCHEDULE 137</t>
  </si>
  <si>
    <t>REMOVE OTHER ASSOC WITH CARBON OFFSET - SCHEDULE 137</t>
  </si>
  <si>
    <t>REMOVE CARBON OFFSET AMORTIZATION EXP - SCHEDULE 137</t>
  </si>
  <si>
    <t>OTHER OPERATING REVENUES:</t>
  </si>
  <si>
    <t>TOTAL INCREASE (DECREASE) OPERATING REVENUES</t>
  </si>
  <si>
    <t>PUGET SOUND ENERGY</t>
  </si>
  <si>
    <t>CONVERSION FACTOR BEFORE FIT</t>
  </si>
  <si>
    <t>REMOVE PROPERTY TAX AMORTIZATION EXP - SCHEDULE 140</t>
  </si>
  <si>
    <t>REMOVE PROPERTY TAX TRACKER - SCHEDULE 140</t>
  </si>
  <si>
    <t>Adj 3.01</t>
  </si>
  <si>
    <t>Adj 3.02</t>
  </si>
  <si>
    <t>Adj 3.03</t>
  </si>
  <si>
    <t xml:space="preserve"> Adj 3.04</t>
  </si>
  <si>
    <t>Adj 3.05</t>
  </si>
  <si>
    <t>Adj 3.06</t>
  </si>
  <si>
    <t>Adj 3.07</t>
  </si>
  <si>
    <t>Adj 3.08</t>
  </si>
  <si>
    <t>Adj 3.09</t>
  </si>
  <si>
    <t>Adj 3.10</t>
  </si>
  <si>
    <t>Adj 3.11</t>
  </si>
  <si>
    <t>Adj 3.12</t>
  </si>
  <si>
    <t>Adj 3.13</t>
  </si>
  <si>
    <t>Adj 4.01</t>
  </si>
  <si>
    <t>REMOVE DECOUPLING SCH 142 REVENUE</t>
  </si>
  <si>
    <t>REMOVE DECOUPLING SCH 142 SURCHARGE AMORT EXPENSE</t>
  </si>
  <si>
    <t>3-YR AVERAGE OF NET WRITE OFF RATE</t>
  </si>
  <si>
    <t>REPORTING PERIOD REVENUES</t>
  </si>
  <si>
    <t>After Earnings</t>
  </si>
  <si>
    <t>Gas Commission Basis Report Cover Letter</t>
  </si>
  <si>
    <t>Adjusted Results</t>
  </si>
  <si>
    <t xml:space="preserve">Earnings </t>
  </si>
  <si>
    <t>of Operations</t>
  </si>
  <si>
    <t>Sharing</t>
  </si>
  <si>
    <t>REMOVE EARNINGS SHARING ACCRUALS</t>
  </si>
  <si>
    <t>REMOVE MERGER RATE CREDIT SCH 132</t>
  </si>
  <si>
    <t>REMOVE RENTALS ASSOC WITH SCH 132</t>
  </si>
  <si>
    <t>PROFORMA BAD DEBT RATE</t>
  </si>
  <si>
    <t>PROFORMA BAD DEBTS</t>
  </si>
  <si>
    <t>TOTAL INCENTIVE / MERIT PAY</t>
  </si>
  <si>
    <t>Rate Case Expense</t>
  </si>
  <si>
    <t>December</t>
  </si>
  <si>
    <t>August</t>
  </si>
  <si>
    <t>Conversion Factor</t>
  </si>
  <si>
    <t>2017 AND 2011 GRC EXPENSES TO BE NORMALIZED</t>
  </si>
  <si>
    <t>(Source:  UE-170033/UG-170034)</t>
  </si>
  <si>
    <t>Line 10 ÷ Line11, &amp; for adj:  (Line 10 - Previous Line 10) ÷ Line11</t>
  </si>
  <si>
    <t>Line 8 x Line 9</t>
  </si>
  <si>
    <t>After-Tax Earnings Sharing (Cumulative)</t>
  </si>
  <si>
    <t>Earnings Sharing %</t>
  </si>
  <si>
    <t>Greater of zero or line 7</t>
  </si>
  <si>
    <t>Excess Earnings (Cumulative)</t>
  </si>
  <si>
    <t>Line 4 - Line 6</t>
  </si>
  <si>
    <t>Difference</t>
  </si>
  <si>
    <t>Previous Column + Line 5</t>
  </si>
  <si>
    <t>Restated Net Operating Income (Cumulative)</t>
  </si>
  <si>
    <t>Commission basis report pg 3-A thru 3-B</t>
  </si>
  <si>
    <t>Normalizing Adjustments</t>
  </si>
  <si>
    <t>Line 2 x Line 3</t>
  </si>
  <si>
    <t>Maximum Net Operating Income</t>
  </si>
  <si>
    <t>Commission basis report pg 1.01 line b</t>
  </si>
  <si>
    <t xml:space="preserve">Restated Rate Base </t>
  </si>
  <si>
    <t>Rate Base Adjustments</t>
  </si>
  <si>
    <t>Injuries &amp; Damages</t>
  </si>
  <si>
    <t>Bad Debt</t>
  </si>
  <si>
    <t>Temp Normalization</t>
  </si>
  <si>
    <t>Source</t>
  </si>
  <si>
    <t>Line No.</t>
  </si>
  <si>
    <t>Normalizing Adjustments to Remove</t>
  </si>
  <si>
    <t>UG-121705</t>
  </si>
  <si>
    <t>Commission Basis Report</t>
  </si>
  <si>
    <t>Gas Earnings Sharing Test (Excludes Normalizing Adjustments per UE-170033 / UG-170034)</t>
  </si>
  <si>
    <t>Total Debt</t>
  </si>
  <si>
    <t>Summary-2</t>
  </si>
  <si>
    <t>Summary-3</t>
  </si>
  <si>
    <t>Summary-1</t>
  </si>
  <si>
    <t>CONVERSION FACTOR EXCLUDING FEDERAL INCOME TAX ( 1 - LINE 5)</t>
  </si>
  <si>
    <t>FEDERAL INCOME TAX ( LINE 7 * 21%)</t>
  </si>
  <si>
    <t>PUGET SOUND ENERGY-GAS (PER SETTLEMENT)</t>
  </si>
  <si>
    <t>FOR THE TWELVE MONTHS ENDED SEPTEMBER 30, 2016</t>
  </si>
  <si>
    <t>GENERAL RATE CASE</t>
  </si>
  <si>
    <t>12 ME 12/01/2016 AND 8/31/2016</t>
  </si>
  <si>
    <t>12 ME 12/01/2017 AND 8/31/2017</t>
  </si>
  <si>
    <t>INCREASE (DECREASE) FIT  (LINE 26 * 21%)</t>
  </si>
  <si>
    <t>ARAM</t>
  </si>
  <si>
    <t>12 ME December 31, 2018</t>
  </si>
  <si>
    <t>Interruptible with firm option - com</t>
  </si>
  <si>
    <t>Trans. interrupt with firm option - com</t>
  </si>
  <si>
    <t>Non-excl interrupt w/ firm option - com</t>
  </si>
  <si>
    <t>Trans. non-exclus inter w/ firm option - com</t>
  </si>
  <si>
    <t>Special contracts - ind</t>
  </si>
  <si>
    <t xml:space="preserve">FEDERAL INCOME TAX </t>
  </si>
  <si>
    <t xml:space="preserve">   CURRENT FIT    @</t>
  </si>
  <si>
    <t xml:space="preserve">   DEFERRED FIT - DEBIT</t>
  </si>
  <si>
    <t xml:space="preserve">   DEFERRED FIT - OTHER</t>
  </si>
  <si>
    <t xml:space="preserve">   DEFERRED FIT - INV TAX CREDIT, NET OF AMORTIZATION</t>
  </si>
  <si>
    <t xml:space="preserve">                    TOTAL RESTATED FIT</t>
  </si>
  <si>
    <t>FIT PER BOOKS:</t>
  </si>
  <si>
    <t xml:space="preserve">   CURRENT FIT    </t>
  </si>
  <si>
    <t xml:space="preserve">   DEFERRED FIT - CREDIT</t>
  </si>
  <si>
    <t xml:space="preserve">                    TOTAL CHARGED TO EXPENSE</t>
  </si>
  <si>
    <t>INCREASE(DECREASE) DEFERRED FIT</t>
  </si>
  <si>
    <t>INCREASE(DECREASE) ITC</t>
  </si>
  <si>
    <t xml:space="preserve">INCREASE(DECREASE) NOI </t>
  </si>
  <si>
    <t>check</t>
  </si>
  <si>
    <t>FOR THE TWELVE MONTHS ENDED DECEMBER 31, 2019</t>
  </si>
  <si>
    <t>12 ME 12/01/2015 AND 8/31/2015</t>
  </si>
  <si>
    <t>85T</t>
  </si>
  <si>
    <t>87T</t>
  </si>
  <si>
    <t>SC</t>
  </si>
  <si>
    <t>2019 CBR as Filed</t>
  </si>
  <si>
    <t>2019 Adjusted CBR Earnings Test</t>
  </si>
  <si>
    <t>Incremental Earnings Sharing for CY 2019 for Cost of Svc</t>
  </si>
  <si>
    <t>Two months 17GRC; Ten months 18ERF</t>
  </si>
  <si>
    <t>(Source:  UE-170033/UG-170034 and UE-180899/UG-180900)</t>
  </si>
  <si>
    <t>UE 170033 / UG170034</t>
  </si>
  <si>
    <t>UE 180899 / UG 180900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</si>
</sst>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.00\ ;\(#,##0.00\)"/>
    <numFmt numFmtId="165" formatCode="0.0000%"/>
    <numFmt numFmtId="166" formatCode="0.0%"/>
    <numFmt numFmtId="167" formatCode="0.000%"/>
    <numFmt numFmtId="168" formatCode="0.00000%"/>
    <numFmt numFmtId="169" formatCode="0.0000000"/>
    <numFmt numFmtId="170" formatCode="0.000000"/>
    <numFmt numFmtId="171" formatCode="#,##0.0000000;\(#,##0.0000000\)"/>
    <numFmt numFmtId="172" formatCode="#,##0;\(#,##0\)"/>
    <numFmt numFmtId="173" formatCode="yyyy"/>
    <numFmt numFmtId="174" formatCode="0."/>
    <numFmt numFmtId="175" formatCode=".0000000"/>
    <numFmt numFmtId="176" formatCode="&quot;$&quot;#,##0_);\(#,##0\)"/>
    <numFmt numFmtId="177" formatCode="_(* #,##0_);_(* \(#,##0\);_(* &quot;-&quot;??_);_(@_)"/>
    <numFmt numFmtId="178" formatCode="_(&quot;$&quot;* #,##0_);_(&quot;$&quot;* \(#,##0\);_(&quot;$&quot;* &quot;-&quot;??_);_(@_)"/>
    <numFmt numFmtId="179" formatCode="_(&quot;$&quot;* #,##0_);[Red]_(&quot;$&quot;* \(#,##0\);_(&quot;$&quot;* &quot;-&quot;_);_(@_)"/>
    <numFmt numFmtId="180" formatCode="_(&quot;$&quot;* #,##0.0000_);_(&quot;$&quot;* \(#,##0.0000\);_(&quot;$&quot;* &quot;-&quot;??_);_(@_)"/>
    <numFmt numFmtId="181" formatCode="0.00000"/>
    <numFmt numFmtId="182" formatCode="0.000000%"/>
    <numFmt numFmtId="183" formatCode="&quot;PAGE&quot;\ 0.00"/>
    <numFmt numFmtId="185" formatCode="[$-409]mmmm\ d\,\ yyyy;@"/>
    <numFmt numFmtId="186" formatCode="_(* #,##0.000000_);_(* \(#,##0.000000\);_(* &quot;-&quot;?????_);_(@_)"/>
    <numFmt numFmtId="187" formatCode="_(* #,##0.000000_);_(* \(#,##0.000000\);_(* &quot;-&quot;??????_);_(@_)"/>
  </numFmts>
  <fonts count="31" x14ac:knownFonts="1">
    <font>
      <sz val="8"/>
      <name val="Helv"/>
    </font>
    <font>
      <b/>
      <sz val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10"/>
      <name val="Times New Roman"/>
      <family val="1"/>
    </font>
    <font>
      <sz val="8"/>
      <name val="Times New Roman"/>
      <family val="1"/>
    </font>
    <font>
      <sz val="10"/>
      <color indexed="56"/>
      <name val="Times New Roman"/>
      <family val="1"/>
    </font>
    <font>
      <sz val="10"/>
      <color indexed="14"/>
      <name val="Times New Roman"/>
      <family val="1"/>
    </font>
    <font>
      <sz val="12"/>
      <color indexed="14"/>
      <name val="Times New Roman"/>
      <family val="1"/>
    </font>
    <font>
      <b/>
      <sz val="10"/>
      <color indexed="8"/>
      <name val="Times New Roman"/>
      <family val="1"/>
    </font>
    <font>
      <sz val="8"/>
      <name val="Helv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u val="double"/>
      <sz val="10"/>
      <name val="Arial"/>
      <family val="2"/>
    </font>
    <font>
      <b/>
      <sz val="11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Helv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b/>
      <i/>
      <sz val="10"/>
      <color rgb="FF0000FF"/>
      <name val="Times New Roman"/>
      <family val="1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170" fontId="0" fillId="0" borderId="0">
      <alignment horizontal="left" wrapText="1"/>
    </xf>
  </cellStyleXfs>
  <cellXfs count="543">
    <xf numFmtId="0" fontId="0" fillId="0" borderId="0" xfId="0" applyNumberFormat="1" applyAlignment="1"/>
    <xf numFmtId="170" fontId="6" fillId="0" borderId="0" xfId="0" applyFont="1" applyFill="1" applyAlignment="1">
      <alignment horizontal="center" wrapText="1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fill"/>
    </xf>
    <xf numFmtId="0" fontId="3" fillId="0" borderId="0" xfId="0" applyNumberFormat="1" applyFont="1" applyFill="1" applyAlignment="1">
      <alignment horizontal="centerContinuous"/>
    </xf>
    <xf numFmtId="42" fontId="7" fillId="0" borderId="0" xfId="0" applyNumberFormat="1" applyFont="1" applyFill="1" applyAlignment="1" applyProtection="1">
      <protection locked="0"/>
    </xf>
    <xf numFmtId="42" fontId="7" fillId="0" borderId="0" xfId="0" applyNumberFormat="1" applyFont="1" applyFill="1" applyAlignment="1" applyProtection="1"/>
    <xf numFmtId="41" fontId="7" fillId="0" borderId="0" xfId="0" applyNumberFormat="1" applyFont="1" applyFill="1" applyAlignment="1" applyProtection="1">
      <protection locked="0"/>
    </xf>
    <xf numFmtId="41" fontId="7" fillId="0" borderId="0" xfId="0" applyNumberFormat="1" applyFont="1" applyFill="1" applyAlignment="1" applyProtection="1">
      <alignment horizontal="left"/>
      <protection locked="0"/>
    </xf>
    <xf numFmtId="41" fontId="7" fillId="0" borderId="0" xfId="0" applyNumberFormat="1" applyFont="1" applyFill="1" applyAlignment="1" applyProtection="1">
      <alignment horizontal="left"/>
    </xf>
    <xf numFmtId="41" fontId="7" fillId="0" borderId="3" xfId="0" applyNumberFormat="1" applyFont="1" applyFill="1" applyBorder="1" applyAlignment="1" applyProtection="1">
      <protection locked="0"/>
    </xf>
    <xf numFmtId="42" fontId="7" fillId="0" borderId="5" xfId="0" applyNumberFormat="1" applyFont="1" applyFill="1" applyBorder="1" applyAlignment="1" applyProtection="1"/>
    <xf numFmtId="10" fontId="2" fillId="0" borderId="0" xfId="0" applyNumberFormat="1" applyFont="1" applyFill="1" applyAlignment="1"/>
    <xf numFmtId="42" fontId="2" fillId="0" borderId="0" xfId="0" applyNumberFormat="1" applyFont="1" applyFill="1" applyAlignment="1" applyProtection="1">
      <protection locked="0"/>
    </xf>
    <xf numFmtId="41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left"/>
    </xf>
    <xf numFmtId="172" fontId="2" fillId="0" borderId="0" xfId="0" applyNumberFormat="1" applyFont="1" applyFill="1" applyBorder="1" applyAlignment="1" applyProtection="1">
      <protection locked="0"/>
    </xf>
    <xf numFmtId="172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172" fontId="2" fillId="0" borderId="0" xfId="0" applyNumberFormat="1" applyFont="1" applyFill="1" applyAlignment="1"/>
    <xf numFmtId="0" fontId="2" fillId="0" borderId="0" xfId="0" applyNumberFormat="1" applyFont="1" applyFill="1" applyAlignment="1">
      <alignment vertical="center"/>
    </xf>
    <xf numFmtId="42" fontId="2" fillId="0" borderId="0" xfId="0" applyNumberFormat="1" applyFont="1" applyFill="1" applyAlignment="1"/>
    <xf numFmtId="42" fontId="2" fillId="0" borderId="0" xfId="0" applyNumberFormat="1" applyFont="1" applyFill="1" applyAlignment="1"/>
    <xf numFmtId="38" fontId="2" fillId="0" borderId="0" xfId="0" applyNumberFormat="1" applyFont="1" applyFill="1" applyBorder="1" applyAlignment="1"/>
    <xf numFmtId="0" fontId="2" fillId="0" borderId="0" xfId="0" quotePrefix="1" applyNumberFormat="1" applyFont="1" applyFill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NumberFormat="1" applyFont="1" applyFill="1" applyAlignment="1"/>
    <xf numFmtId="18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protection locked="0"/>
    </xf>
    <xf numFmtId="0" fontId="3" fillId="0" borderId="3" xfId="0" applyNumberFormat="1" applyFont="1" applyFill="1" applyBorder="1" applyAlignment="1"/>
    <xf numFmtId="0" fontId="3" fillId="0" borderId="3" xfId="0" applyNumberFormat="1" applyFont="1" applyFill="1" applyBorder="1" applyAlignment="1" applyProtection="1">
      <protection locked="0"/>
    </xf>
    <xf numFmtId="0" fontId="2" fillId="0" borderId="0" xfId="0" applyNumberFormat="1" applyFont="1" applyFill="1" applyAlignment="1" applyProtection="1">
      <alignment horizontal="center"/>
      <protection locked="0"/>
    </xf>
    <xf numFmtId="0" fontId="0" fillId="0" borderId="0" xfId="0" applyNumberFormat="1" applyFill="1" applyAlignment="1"/>
    <xf numFmtId="172" fontId="2" fillId="0" borderId="0" xfId="0" applyNumberFormat="1" applyFont="1" applyFill="1" applyAlignment="1">
      <alignment vertical="top"/>
    </xf>
    <xf numFmtId="0" fontId="2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Alignment="1" applyProtection="1">
      <alignment horizontal="center"/>
      <protection locked="0"/>
    </xf>
    <xf numFmtId="42" fontId="2" fillId="0" borderId="4" xfId="0" applyNumberFormat="1" applyFont="1" applyFill="1" applyBorder="1" applyAlignment="1" applyProtection="1">
      <protection locked="0"/>
    </xf>
    <xf numFmtId="42" fontId="2" fillId="0" borderId="4" xfId="0" applyNumberFormat="1" applyFont="1" applyFill="1" applyBorder="1" applyAlignment="1"/>
    <xf numFmtId="41" fontId="2" fillId="0" borderId="0" xfId="0" applyNumberFormat="1" applyFont="1" applyFill="1" applyAlignment="1"/>
    <xf numFmtId="41" fontId="2" fillId="0" borderId="3" xfId="0" applyNumberFormat="1" applyFont="1" applyFill="1" applyBorder="1" applyAlignment="1"/>
    <xf numFmtId="42" fontId="2" fillId="0" borderId="0" xfId="0" applyNumberFormat="1" applyFont="1" applyFill="1" applyBorder="1" applyAlignment="1"/>
    <xf numFmtId="41" fontId="2" fillId="0" borderId="0" xfId="0" applyNumberFormat="1" applyFont="1" applyFill="1" applyAlignment="1" applyProtection="1">
      <protection locked="0"/>
    </xf>
    <xf numFmtId="0" fontId="3" fillId="0" borderId="0" xfId="0" quotePrefix="1" applyNumberFormat="1" applyFont="1" applyFill="1" applyBorder="1" applyAlignment="1">
      <alignment horizontal="right"/>
    </xf>
    <xf numFmtId="0" fontId="2" fillId="0" borderId="0" xfId="0" applyNumberFormat="1" applyFont="1" applyFill="1" applyAlignment="1" applyProtection="1">
      <protection locked="0"/>
    </xf>
    <xf numFmtId="41" fontId="2" fillId="0" borderId="3" xfId="0" applyNumberFormat="1" applyFont="1" applyFill="1" applyBorder="1" applyAlignment="1" applyProtection="1">
      <protection locked="0"/>
    </xf>
    <xf numFmtId="41" fontId="2" fillId="0" borderId="0" xfId="0" applyNumberFormat="1" applyFont="1" applyFill="1" applyAlignment="1"/>
    <xf numFmtId="10" fontId="2" fillId="0" borderId="0" xfId="0" applyNumberFormat="1" applyFont="1" applyFill="1" applyAlignment="1"/>
    <xf numFmtId="41" fontId="2" fillId="0" borderId="0" xfId="0" applyNumberFormat="1" applyFont="1" applyFill="1" applyBorder="1" applyAlignment="1"/>
    <xf numFmtId="0" fontId="3" fillId="0" borderId="3" xfId="0" applyNumberFormat="1" applyFont="1" applyFill="1" applyBorder="1" applyAlignment="1" applyProtection="1">
      <alignment horizontal="center"/>
      <protection locked="0"/>
    </xf>
    <xf numFmtId="1" fontId="2" fillId="0" borderId="0" xfId="0" applyNumberFormat="1" applyFont="1" applyFill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Alignment="1"/>
    <xf numFmtId="172" fontId="2" fillId="0" borderId="0" xfId="0" applyNumberFormat="1" applyFont="1" applyFill="1" applyAlignment="1" applyProtection="1">
      <protection locked="0"/>
    </xf>
    <xf numFmtId="0" fontId="2" fillId="0" borderId="0" xfId="0" applyNumberFormat="1" applyFont="1" applyFill="1" applyAlignment="1">
      <alignment horizontal="center" vertical="top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vertical="top"/>
    </xf>
    <xf numFmtId="15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center" vertical="center"/>
    </xf>
    <xf numFmtId="42" fontId="2" fillId="0" borderId="0" xfId="0" applyNumberFormat="1" applyFont="1" applyFill="1" applyAlignment="1">
      <alignment vertical="top"/>
    </xf>
    <xf numFmtId="0" fontId="3" fillId="0" borderId="0" xfId="0" quotePrefix="1" applyNumberFormat="1" applyFont="1" applyFill="1" applyAlignment="1">
      <alignment horizontal="fill"/>
    </xf>
    <xf numFmtId="42" fontId="2" fillId="0" borderId="0" xfId="0" applyNumberFormat="1" applyFont="1" applyFill="1" applyAlignment="1">
      <alignment horizontal="right"/>
    </xf>
    <xf numFmtId="41" fontId="2" fillId="0" borderId="0" xfId="0" applyNumberFormat="1" applyFont="1" applyFill="1" applyAlignment="1">
      <alignment horizontal="right"/>
    </xf>
    <xf numFmtId="41" fontId="2" fillId="0" borderId="3" xfId="0" applyNumberFormat="1" applyFont="1" applyFill="1" applyBorder="1" applyAlignment="1">
      <alignment horizontal="right"/>
    </xf>
    <xf numFmtId="41" fontId="2" fillId="0" borderId="0" xfId="0" applyNumberFormat="1" applyFont="1" applyFill="1" applyAlignment="1">
      <alignment horizontal="right"/>
    </xf>
    <xf numFmtId="180" fontId="2" fillId="0" borderId="0" xfId="0" applyNumberFormat="1" applyFont="1" applyFill="1" applyAlignment="1"/>
    <xf numFmtId="6" fontId="2" fillId="0" borderId="0" xfId="0" applyNumberFormat="1" applyFont="1" applyFill="1" applyAlignment="1">
      <alignment horizontal="right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/>
    <xf numFmtId="18" fontId="2" fillId="0" borderId="0" xfId="0" applyNumberFormat="1" applyFont="1" applyFill="1" applyAlignment="1"/>
    <xf numFmtId="171" fontId="2" fillId="0" borderId="0" xfId="0" applyNumberFormat="1" applyFont="1" applyFill="1" applyBorder="1" applyAlignment="1" applyProtection="1">
      <protection locked="0"/>
    </xf>
    <xf numFmtId="6" fontId="2" fillId="0" borderId="0" xfId="0" applyNumberFormat="1" applyFont="1" applyFill="1" applyAlignment="1">
      <alignment vertical="top"/>
    </xf>
    <xf numFmtId="6" fontId="2" fillId="0" borderId="0" xfId="0" applyNumberFormat="1" applyFont="1" applyFill="1" applyAlignment="1">
      <alignment vertical="top"/>
    </xf>
    <xf numFmtId="1" fontId="2" fillId="0" borderId="0" xfId="0" applyNumberFormat="1" applyFont="1" applyFill="1" applyAlignment="1">
      <alignment vertical="top"/>
    </xf>
    <xf numFmtId="41" fontId="2" fillId="0" borderId="0" xfId="0" applyNumberFormat="1" applyFont="1" applyFill="1" applyAlignment="1">
      <alignment vertical="top"/>
    </xf>
    <xf numFmtId="17" fontId="2" fillId="0" borderId="0" xfId="0" applyNumberFormat="1" applyFont="1" applyFill="1" applyBorder="1" applyAlignment="1">
      <alignment horizontal="left"/>
    </xf>
    <xf numFmtId="172" fontId="2" fillId="0" borderId="0" xfId="0" applyNumberFormat="1" applyFont="1" applyFill="1" applyAlignment="1" applyProtection="1">
      <alignment horizontal="right"/>
      <protection locked="0"/>
    </xf>
    <xf numFmtId="0" fontId="2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Alignment="1"/>
    <xf numFmtId="41" fontId="2" fillId="0" borderId="3" xfId="0" applyNumberFormat="1" applyFont="1" applyFill="1" applyBorder="1" applyAlignment="1"/>
    <xf numFmtId="0" fontId="3" fillId="0" borderId="0" xfId="0" applyNumberFormat="1" applyFont="1" applyFill="1" applyBorder="1" applyAlignment="1"/>
    <xf numFmtId="3" fontId="2" fillId="0" borderId="0" xfId="0" applyNumberFormat="1" applyFont="1" applyFill="1" applyAlignment="1">
      <alignment horizontal="centerContinuous"/>
    </xf>
    <xf numFmtId="3" fontId="3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Alignment="1"/>
    <xf numFmtId="3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fill"/>
    </xf>
    <xf numFmtId="3" fontId="3" fillId="0" borderId="3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/>
    <xf numFmtId="164" fontId="2" fillId="0" borderId="0" xfId="0" applyNumberFormat="1" applyFont="1" applyFill="1" applyAlignment="1">
      <alignment horizontal="left"/>
    </xf>
    <xf numFmtId="37" fontId="2" fillId="0" borderId="0" xfId="0" applyNumberFormat="1" applyFont="1" applyFill="1" applyAlignment="1"/>
    <xf numFmtId="37" fontId="2" fillId="0" borderId="3" xfId="0" applyNumberFormat="1" applyFont="1" applyFill="1" applyBorder="1" applyAlignment="1"/>
    <xf numFmtId="37" fontId="2" fillId="0" borderId="0" xfId="0" applyNumberFormat="1" applyFont="1" applyFill="1" applyBorder="1" applyAlignment="1"/>
    <xf numFmtId="0" fontId="2" fillId="0" borderId="0" xfId="0" applyNumberFormat="1" applyFont="1" applyFill="1" applyAlignment="1">
      <alignment horizontal="left" vertical="top"/>
    </xf>
    <xf numFmtId="169" fontId="2" fillId="0" borderId="0" xfId="0" applyNumberFormat="1" applyFont="1" applyFill="1" applyBorder="1" applyAlignment="1"/>
    <xf numFmtId="172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5" fontId="2" fillId="0" borderId="0" xfId="0" applyNumberFormat="1" applyFont="1" applyFill="1" applyAlignment="1"/>
    <xf numFmtId="179" fontId="7" fillId="0" borderId="0" xfId="0" applyNumberFormat="1" applyFont="1" applyFill="1" applyAlignment="1" applyProtection="1">
      <alignment horizontal="left"/>
    </xf>
    <xf numFmtId="166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right"/>
    </xf>
    <xf numFmtId="172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/>
    <xf numFmtId="174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>
      <alignment horizontal="centerContinuous"/>
    </xf>
    <xf numFmtId="170" fontId="2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174" fontId="2" fillId="0" borderId="0" xfId="0" applyNumberFormat="1" applyFont="1" applyFill="1" applyBorder="1" applyAlignment="1">
      <alignment horizontal="center"/>
    </xf>
    <xf numFmtId="5" fontId="2" fillId="0" borderId="0" xfId="0" applyNumberFormat="1" applyFont="1" applyFill="1" applyBorder="1" applyAlignment="1"/>
    <xf numFmtId="37" fontId="2" fillId="0" borderId="0" xfId="0" applyNumberFormat="1" applyFont="1" applyFill="1" applyBorder="1" applyAlignment="1"/>
    <xf numFmtId="175" fontId="2" fillId="0" borderId="0" xfId="0" applyNumberFormat="1" applyFont="1" applyFill="1" applyBorder="1" applyAlignment="1"/>
    <xf numFmtId="176" fontId="2" fillId="0" borderId="0" xfId="0" applyNumberFormat="1" applyFont="1" applyFill="1" applyBorder="1" applyAlignment="1"/>
    <xf numFmtId="14" fontId="10" fillId="0" borderId="0" xfId="0" applyNumberFormat="1" applyFont="1" applyFill="1" applyAlignment="1"/>
    <xf numFmtId="0" fontId="12" fillId="0" borderId="0" xfId="0" applyNumberFormat="1" applyFont="1" applyFill="1" applyAlignment="1"/>
    <xf numFmtId="14" fontId="12" fillId="0" borderId="0" xfId="0" applyNumberFormat="1" applyFont="1" applyFill="1" applyAlignment="1"/>
    <xf numFmtId="41" fontId="12" fillId="0" borderId="0" xfId="0" applyNumberFormat="1" applyFont="1" applyFill="1" applyAlignment="1">
      <alignment vertical="top"/>
    </xf>
    <xf numFmtId="18" fontId="3" fillId="0" borderId="0" xfId="0" applyNumberFormat="1" applyFont="1" applyFill="1" applyAlignment="1"/>
    <xf numFmtId="42" fontId="2" fillId="0" borderId="0" xfId="0" applyNumberFormat="1" applyFont="1" applyFill="1" applyBorder="1" applyAlignment="1"/>
    <xf numFmtId="9" fontId="2" fillId="0" borderId="0" xfId="0" applyNumberFormat="1" applyFont="1" applyFill="1" applyAlignment="1"/>
    <xf numFmtId="37" fontId="12" fillId="0" borderId="0" xfId="0" applyNumberFormat="1" applyFont="1" applyFill="1" applyAlignment="1">
      <alignment vertical="top"/>
    </xf>
    <xf numFmtId="178" fontId="2" fillId="0" borderId="0" xfId="0" applyNumberFormat="1" applyFont="1" applyFill="1" applyBorder="1" applyAlignment="1"/>
    <xf numFmtId="172" fontId="12" fillId="0" borderId="0" xfId="0" applyNumberFormat="1" applyFont="1" applyFill="1" applyBorder="1" applyAlignment="1"/>
    <xf numFmtId="41" fontId="12" fillId="0" borderId="0" xfId="0" applyNumberFormat="1" applyFont="1" applyFill="1" applyBorder="1" applyAlignment="1"/>
    <xf numFmtId="37" fontId="13" fillId="0" borderId="0" xfId="0" applyNumberFormat="1" applyFont="1" applyFill="1" applyAlignment="1">
      <alignment vertical="top"/>
    </xf>
    <xf numFmtId="42" fontId="2" fillId="0" borderId="0" xfId="0" applyNumberFormat="1" applyFont="1" applyFill="1" applyBorder="1" applyAlignment="1"/>
    <xf numFmtId="41" fontId="7" fillId="0" borderId="0" xfId="0" applyNumberFormat="1" applyFont="1" applyFill="1" applyAlignment="1" applyProtection="1">
      <protection locked="0"/>
    </xf>
    <xf numFmtId="41" fontId="7" fillId="0" borderId="3" xfId="0" applyNumberFormat="1" applyFont="1" applyFill="1" applyBorder="1" applyAlignment="1" applyProtection="1">
      <protection locked="0"/>
    </xf>
    <xf numFmtId="41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NumberFormat="1" applyFont="1" applyAlignment="1"/>
    <xf numFmtId="0" fontId="9" fillId="0" borderId="0" xfId="0" applyNumberFormat="1" applyFont="1" applyFill="1" applyAlignment="1">
      <alignment horizontal="right"/>
    </xf>
    <xf numFmtId="9" fontId="2" fillId="0" borderId="0" xfId="0" applyNumberFormat="1" applyFont="1" applyFill="1" applyAlignment="1">
      <alignment horizontal="right"/>
    </xf>
    <xf numFmtId="42" fontId="2" fillId="0" borderId="0" xfId="0" applyNumberFormat="1" applyFont="1" applyFill="1" applyBorder="1" applyAlignment="1" applyProtection="1">
      <alignment horizontal="right"/>
      <protection locked="0"/>
    </xf>
    <xf numFmtId="177" fontId="2" fillId="0" borderId="0" xfId="0" applyNumberFormat="1" applyFont="1" applyFill="1" applyBorder="1" applyAlignment="1"/>
    <xf numFmtId="3" fontId="2" fillId="0" borderId="0" xfId="0" applyNumberFormat="1" applyFont="1" applyFill="1" applyAlignment="1"/>
    <xf numFmtId="42" fontId="2" fillId="0" borderId="0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/>
    <xf numFmtId="42" fontId="0" fillId="0" borderId="0" xfId="0" applyNumberFormat="1" applyFill="1" applyAlignment="1"/>
    <xf numFmtId="37" fontId="0" fillId="0" borderId="0" xfId="0" applyNumberFormat="1" applyFont="1" applyFill="1" applyAlignment="1"/>
    <xf numFmtId="3" fontId="0" fillId="0" borderId="0" xfId="0" applyNumberFormat="1" applyFont="1" applyFill="1" applyAlignment="1"/>
    <xf numFmtId="3" fontId="10" fillId="0" borderId="0" xfId="0" applyNumberFormat="1" applyFont="1" applyFill="1" applyAlignment="1"/>
    <xf numFmtId="170" fontId="2" fillId="0" borderId="0" xfId="0" applyFont="1" applyFill="1">
      <alignment horizontal="left" wrapText="1"/>
    </xf>
    <xf numFmtId="170" fontId="3" fillId="0" borderId="0" xfId="0" applyFont="1" applyFill="1" applyAlignment="1">
      <alignment horizontal="center"/>
    </xf>
    <xf numFmtId="170" fontId="3" fillId="0" borderId="3" xfId="0" applyFont="1" applyFill="1" applyBorder="1" applyAlignment="1">
      <alignment horizontal="center"/>
    </xf>
    <xf numFmtId="170" fontId="3" fillId="0" borderId="0" xfId="0" applyFont="1" applyFill="1" applyAlignment="1" applyProtection="1">
      <alignment horizontal="center"/>
      <protection locked="0"/>
    </xf>
    <xf numFmtId="170" fontId="3" fillId="0" borderId="3" xfId="0" applyFont="1" applyFill="1" applyBorder="1" applyAlignment="1" applyProtection="1">
      <alignment horizontal="center"/>
      <protection locked="0"/>
    </xf>
    <xf numFmtId="170" fontId="2" fillId="0" borderId="0" xfId="0" applyFont="1" applyFill="1" applyAlignment="1"/>
    <xf numFmtId="170" fontId="10" fillId="0" borderId="0" xfId="0" applyFont="1" applyFill="1" applyAlignment="1"/>
    <xf numFmtId="170" fontId="2" fillId="0" borderId="0" xfId="0" applyFont="1" applyFill="1" applyBorder="1" applyAlignment="1"/>
    <xf numFmtId="170" fontId="2" fillId="0" borderId="0" xfId="0" applyFont="1" applyFill="1" applyAlignment="1">
      <alignment horizontal="center"/>
    </xf>
    <xf numFmtId="170" fontId="2" fillId="0" borderId="0" xfId="0" applyFont="1" applyFill="1" applyAlignment="1">
      <alignment horizontal="left"/>
    </xf>
    <xf numFmtId="170" fontId="2" fillId="0" borderId="0" xfId="0" quotePrefix="1" applyFont="1" applyFill="1" applyAlignment="1">
      <alignment horizontal="left"/>
    </xf>
    <xf numFmtId="37" fontId="2" fillId="0" borderId="0" xfId="0" applyNumberFormat="1" applyFont="1" applyFill="1">
      <alignment horizontal="left" wrapText="1"/>
    </xf>
    <xf numFmtId="172" fontId="2" fillId="0" borderId="0" xfId="0" applyNumberFormat="1" applyFont="1" applyFill="1" applyBorder="1" applyProtection="1">
      <alignment horizontal="left" wrapText="1"/>
      <protection locked="0"/>
    </xf>
    <xf numFmtId="172" fontId="2" fillId="0" borderId="0" xfId="0" applyNumberFormat="1" applyFont="1" applyFill="1" applyBorder="1">
      <alignment horizontal="left" wrapText="1"/>
    </xf>
    <xf numFmtId="1" fontId="2" fillId="0" borderId="0" xfId="0" applyNumberFormat="1" applyFont="1" applyFill="1" applyBorder="1" applyAlignment="1">
      <alignment horizontal="center"/>
    </xf>
    <xf numFmtId="170" fontId="3" fillId="0" borderId="0" xfId="0" applyFont="1" applyFill="1" applyBorder="1" applyAlignment="1">
      <alignment horizontal="center"/>
    </xf>
    <xf numFmtId="0" fontId="16" fillId="0" borderId="0" xfId="0" applyNumberFormat="1" applyFont="1" applyAlignment="1"/>
    <xf numFmtId="0" fontId="6" fillId="0" borderId="0" xfId="0" applyNumberFormat="1" applyFont="1" applyAlignment="1"/>
    <xf numFmtId="0" fontId="16" fillId="0" borderId="3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/>
    </xf>
    <xf numFmtId="178" fontId="6" fillId="0" borderId="0" xfId="0" applyNumberFormat="1" applyFont="1" applyFill="1" applyAlignment="1"/>
    <xf numFmtId="178" fontId="6" fillId="0" borderId="0" xfId="0" applyNumberFormat="1" applyFont="1" applyAlignment="1"/>
    <xf numFmtId="10" fontId="16" fillId="0" borderId="0" xfId="0" applyNumberFormat="1" applyFont="1" applyFill="1" applyAlignment="1"/>
    <xf numFmtId="10" fontId="6" fillId="0" borderId="0" xfId="0" applyNumberFormat="1" applyFont="1" applyAlignment="1"/>
    <xf numFmtId="9" fontId="6" fillId="0" borderId="0" xfId="0" applyNumberFormat="1" applyFont="1" applyAlignment="1"/>
    <xf numFmtId="170" fontId="3" fillId="0" borderId="0" xfId="0" applyFont="1" applyFill="1">
      <alignment horizontal="left" wrapText="1"/>
    </xf>
    <xf numFmtId="15" fontId="3" fillId="0" borderId="0" xfId="0" applyNumberFormat="1" applyFont="1" applyFill="1">
      <alignment horizontal="left" wrapText="1"/>
    </xf>
    <xf numFmtId="170" fontId="3" fillId="0" borderId="0" xfId="0" applyFont="1" applyFill="1" applyAlignment="1" applyProtection="1">
      <alignment horizontal="left"/>
      <protection locked="0"/>
    </xf>
    <xf numFmtId="170" fontId="3" fillId="0" borderId="0" xfId="0" applyFont="1" applyFill="1" applyAlignment="1" applyProtection="1">
      <alignment horizontal="centerContinuous" vertical="center"/>
      <protection locked="0"/>
    </xf>
    <xf numFmtId="170" fontId="3" fillId="0" borderId="0" xfId="0" applyFont="1" applyFill="1" applyAlignment="1">
      <alignment horizontal="centerContinuous" vertical="center"/>
    </xf>
    <xf numFmtId="170" fontId="2" fillId="0" borderId="0" xfId="0" applyFont="1" applyFill="1" applyBorder="1">
      <alignment horizontal="left" wrapText="1"/>
    </xf>
    <xf numFmtId="37" fontId="2" fillId="0" borderId="0" xfId="0" applyNumberFormat="1" applyFont="1" applyFill="1" applyBorder="1" applyAlignment="1"/>
    <xf numFmtId="41" fontId="2" fillId="0" borderId="0" xfId="0" applyNumberFormat="1" applyFont="1" applyFill="1" applyBorder="1" applyAlignment="1"/>
    <xf numFmtId="170" fontId="3" fillId="0" borderId="3" xfId="0" applyFont="1" applyFill="1" applyBorder="1" applyAlignment="1"/>
    <xf numFmtId="170" fontId="17" fillId="0" borderId="3" xfId="0" applyFont="1" applyFill="1" applyBorder="1" applyAlignment="1">
      <alignment horizontal="centerContinuous"/>
    </xf>
    <xf numFmtId="170" fontId="3" fillId="0" borderId="0" xfId="0" applyFont="1" applyFill="1" applyBorder="1" applyAlignment="1"/>
    <xf numFmtId="170" fontId="17" fillId="0" borderId="0" xfId="0" applyFont="1" applyFill="1" applyBorder="1" applyAlignment="1">
      <alignment horizontal="center"/>
    </xf>
    <xf numFmtId="170" fontId="2" fillId="0" borderId="0" xfId="0" applyFont="1" applyFill="1" applyAlignment="1">
      <alignment horizontal="left" indent="1"/>
    </xf>
    <xf numFmtId="3" fontId="2" fillId="0" borderId="0" xfId="0" applyNumberFormat="1" applyFont="1" applyFill="1" applyBorder="1" applyAlignment="1"/>
    <xf numFmtId="181" fontId="2" fillId="0" borderId="0" xfId="0" applyNumberFormat="1" applyFont="1" applyFill="1" applyAlignment="1"/>
    <xf numFmtId="170" fontId="6" fillId="0" borderId="0" xfId="0" applyFont="1" applyFill="1">
      <alignment horizontal="left" wrapText="1"/>
    </xf>
    <xf numFmtId="170" fontId="6" fillId="0" borderId="0" xfId="0" applyFont="1" applyFill="1" applyAlignment="1">
      <alignment horizontal="centerContinuous" vertical="center"/>
    </xf>
    <xf numFmtId="170" fontId="3" fillId="0" borderId="0" xfId="0" applyFont="1" applyFill="1" applyBorder="1">
      <alignment horizontal="left" wrapText="1"/>
    </xf>
    <xf numFmtId="168" fontId="2" fillId="0" borderId="0" xfId="0" applyNumberFormat="1" applyFont="1" applyFill="1" applyAlignment="1">
      <alignment horizontal="right"/>
    </xf>
    <xf numFmtId="0" fontId="3" fillId="0" borderId="6" xfId="0" quotePrefix="1" applyNumberFormat="1" applyFont="1" applyFill="1" applyBorder="1" applyAlignment="1">
      <alignment horizontal="right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0" fontId="18" fillId="0" borderId="0" xfId="0" applyNumberFormat="1" applyFont="1" applyAlignment="1"/>
    <xf numFmtId="0" fontId="16" fillId="0" borderId="0" xfId="0" applyNumberFormat="1" applyFont="1" applyAlignment="1">
      <alignment horizontal="centerContinuous"/>
    </xf>
    <xf numFmtId="0" fontId="18" fillId="0" borderId="0" xfId="0" applyNumberFormat="1" applyFont="1" applyAlignment="1">
      <alignment horizontal="centerContinuous"/>
    </xf>
    <xf numFmtId="0" fontId="6" fillId="0" borderId="0" xfId="0" applyNumberFormat="1" applyFont="1" applyAlignment="1"/>
    <xf numFmtId="170" fontId="3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/>
    <xf numFmtId="170" fontId="3" fillId="0" borderId="0" xfId="0" applyFont="1" applyFill="1" applyAlignment="1"/>
    <xf numFmtId="172" fontId="3" fillId="0" borderId="0" xfId="0" applyNumberFormat="1" applyFont="1" applyFill="1" applyBorder="1" applyAlignment="1"/>
    <xf numFmtId="0" fontId="3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centerContinuous"/>
    </xf>
    <xf numFmtId="170" fontId="3" fillId="0" borderId="0" xfId="0" applyFont="1" applyFill="1" applyAlignment="1">
      <alignment horizontal="centerContinuous"/>
    </xf>
    <xf numFmtId="172" fontId="3" fillId="0" borderId="0" xfId="0" applyNumberFormat="1" applyFont="1" applyFill="1" applyBorder="1" applyAlignment="1">
      <alignment horizontal="centerContinuous"/>
    </xf>
    <xf numFmtId="170" fontId="3" fillId="0" borderId="0" xfId="0" applyFont="1" applyFill="1" applyAlignment="1" applyProtection="1">
      <alignment horizontal="centerContinuous"/>
      <protection locked="0"/>
    </xf>
    <xf numFmtId="15" fontId="5" fillId="0" borderId="0" xfId="0" applyNumberFormat="1" applyFont="1" applyFill="1" applyAlignment="1">
      <alignment horizontal="centerContinuous"/>
    </xf>
    <xf numFmtId="2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 applyProtection="1">
      <alignment horizontal="left"/>
      <protection locked="0"/>
    </xf>
    <xf numFmtId="41" fontId="3" fillId="0" borderId="0" xfId="0" applyNumberFormat="1" applyFont="1" applyFill="1" applyAlignment="1"/>
    <xf numFmtId="170" fontId="3" fillId="0" borderId="0" xfId="0" applyFont="1" applyFill="1" applyAlignment="1" applyProtection="1">
      <protection locked="0"/>
    </xf>
    <xf numFmtId="170" fontId="3" fillId="0" borderId="3" xfId="0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41" fontId="3" fillId="0" borderId="3" xfId="0" applyNumberFormat="1" applyFont="1" applyFill="1" applyBorder="1" applyAlignment="1">
      <alignment horizontal="center"/>
    </xf>
    <xf numFmtId="170" fontId="3" fillId="0" borderId="3" xfId="0" applyFont="1" applyFill="1" applyBorder="1" applyAlignment="1">
      <alignment horizontal="right"/>
    </xf>
    <xf numFmtId="2" fontId="3" fillId="0" borderId="3" xfId="0" applyNumberFormat="1" applyFont="1" applyFill="1" applyBorder="1" applyAlignment="1">
      <alignment horizontal="center"/>
    </xf>
    <xf numFmtId="172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Continuous"/>
    </xf>
    <xf numFmtId="0" fontId="3" fillId="0" borderId="3" xfId="0" quotePrefix="1" applyNumberFormat="1" applyFont="1" applyFill="1" applyBorder="1" applyAlignment="1" applyProtection="1">
      <alignment horizontal="center"/>
      <protection locked="0"/>
    </xf>
    <xf numFmtId="170" fontId="3" fillId="0" borderId="0" xfId="0" applyFont="1" applyFill="1" applyAlignment="1">
      <alignment horizontal="center" wrapText="1"/>
    </xf>
    <xf numFmtId="170" fontId="4" fillId="0" borderId="0" xfId="0" applyFont="1" applyFill="1" applyBorder="1">
      <alignment horizontal="left" wrapText="1"/>
    </xf>
    <xf numFmtId="9" fontId="2" fillId="0" borderId="0" xfId="0" applyNumberFormat="1" applyFont="1" applyFill="1" applyBorder="1" applyAlignment="1" applyProtection="1">
      <alignment horizontal="left"/>
      <protection locked="0"/>
    </xf>
    <xf numFmtId="37" fontId="2" fillId="0" borderId="0" xfId="0" applyNumberFormat="1" applyFont="1" applyFill="1" applyBorder="1" applyAlignment="1" applyProtection="1">
      <protection locked="0"/>
    </xf>
    <xf numFmtId="41" fontId="2" fillId="0" borderId="0" xfId="0" applyNumberFormat="1" applyFont="1" applyFill="1" applyBorder="1" applyAlignment="1" applyProtection="1">
      <protection locked="0"/>
    </xf>
    <xf numFmtId="170" fontId="4" fillId="0" borderId="0" xfId="0" applyFont="1" applyFill="1" applyAlignment="1">
      <alignment horizontal="left"/>
    </xf>
    <xf numFmtId="0" fontId="3" fillId="0" borderId="0" xfId="0" applyNumberFormat="1" applyFont="1" applyFill="1" applyAlignment="1" applyProtection="1">
      <protection locked="0"/>
    </xf>
    <xf numFmtId="0" fontId="2" fillId="0" borderId="0" xfId="0" applyNumberFormat="1" applyFont="1" applyFill="1" applyAlignment="1" applyProtection="1">
      <protection locked="0"/>
    </xf>
    <xf numFmtId="42" fontId="2" fillId="0" borderId="0" xfId="0" applyNumberFormat="1" applyFont="1" applyFill="1" applyAlignment="1"/>
    <xf numFmtId="9" fontId="2" fillId="0" borderId="0" xfId="0" applyNumberFormat="1" applyFont="1" applyFill="1" applyBorder="1" applyAlignment="1"/>
    <xf numFmtId="0" fontId="2" fillId="0" borderId="0" xfId="0" applyNumberFormat="1" applyFont="1" applyFill="1" applyAlignment="1" applyProtection="1">
      <alignment horizontal="fill"/>
      <protection locked="0"/>
    </xf>
    <xf numFmtId="170" fontId="2" fillId="0" borderId="0" xfId="0" quotePrefix="1" applyFont="1" applyFill="1" applyAlignment="1">
      <alignment horizontal="center"/>
    </xf>
    <xf numFmtId="170" fontId="2" fillId="0" borderId="0" xfId="0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horizontal="center"/>
    </xf>
    <xf numFmtId="170" fontId="2" fillId="0" borderId="0" xfId="0" applyFont="1" applyFill="1" applyAlignment="1" applyProtection="1">
      <alignment horizontal="left"/>
      <protection locked="0"/>
    </xf>
    <xf numFmtId="170" fontId="2" fillId="0" borderId="0" xfId="0" applyNumberFormat="1" applyFont="1" applyFill="1" applyAlignment="1"/>
    <xf numFmtId="169" fontId="2" fillId="0" borderId="0" xfId="0" applyNumberFormat="1" applyFont="1" applyFill="1" applyAlignment="1"/>
    <xf numFmtId="170" fontId="4" fillId="0" borderId="0" xfId="0" applyFont="1" applyFill="1" applyAlignment="1">
      <alignment horizontal="center"/>
    </xf>
    <xf numFmtId="170" fontId="4" fillId="0" borderId="0" xfId="0" applyFont="1" applyFill="1" applyBorder="1" applyAlignment="1">
      <alignment horizontal="center"/>
    </xf>
    <xf numFmtId="37" fontId="4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protection locked="0"/>
    </xf>
    <xf numFmtId="165" fontId="2" fillId="0" borderId="0" xfId="0" applyNumberFormat="1" applyFont="1" applyFill="1" applyAlignment="1"/>
    <xf numFmtId="167" fontId="2" fillId="0" borderId="0" xfId="0" applyNumberFormat="1" applyFont="1" applyFill="1" applyBorder="1" applyAlignment="1"/>
    <xf numFmtId="173" fontId="2" fillId="0" borderId="0" xfId="0" quotePrefix="1" applyNumberFormat="1" applyFont="1" applyFill="1" applyAlignment="1">
      <alignment horizontal="left"/>
    </xf>
    <xf numFmtId="0" fontId="3" fillId="0" borderId="0" xfId="0" quotePrefix="1" applyNumberFormat="1" applyFont="1" applyFill="1" applyAlignment="1" applyProtection="1">
      <protection locked="0"/>
    </xf>
    <xf numFmtId="0" fontId="2" fillId="0" borderId="0" xfId="0" quotePrefix="1" applyNumberFormat="1" applyFont="1" applyFill="1" applyAlignment="1" applyProtection="1">
      <protection locked="0"/>
    </xf>
    <xf numFmtId="170" fontId="2" fillId="0" borderId="0" xfId="0" applyFont="1" applyFill="1" applyAlignment="1" applyProtection="1">
      <alignment horizontal="center"/>
      <protection locked="0"/>
    </xf>
    <xf numFmtId="168" fontId="2" fillId="0" borderId="0" xfId="0" applyNumberFormat="1" applyFont="1" applyFill="1" applyAlignment="1"/>
    <xf numFmtId="173" fontId="2" fillId="0" borderId="0" xfId="0" applyNumberFormat="1" applyFont="1" applyFill="1" applyAlignment="1">
      <alignment horizontal="left"/>
    </xf>
    <xf numFmtId="0" fontId="2" fillId="0" borderId="0" xfId="0" quotePrefix="1" applyNumberFormat="1" applyFont="1" applyFill="1" applyBorder="1" applyAlignment="1" applyProtection="1">
      <protection locked="0"/>
    </xf>
    <xf numFmtId="168" fontId="2" fillId="0" borderId="0" xfId="0" applyNumberFormat="1" applyFont="1" applyFill="1" applyAlignment="1"/>
    <xf numFmtId="167" fontId="2" fillId="0" borderId="0" xfId="0" applyNumberFormat="1" applyFont="1" applyFill="1" applyAlignment="1"/>
    <xf numFmtId="165" fontId="2" fillId="0" borderId="0" xfId="0" applyNumberFormat="1" applyFont="1" applyFill="1" applyAlignment="1"/>
    <xf numFmtId="1" fontId="2" fillId="0" borderId="0" xfId="0" quotePrefix="1" applyNumberFormat="1" applyFont="1" applyFill="1" applyAlignment="1">
      <alignment horizontal="left"/>
    </xf>
    <xf numFmtId="9" fontId="2" fillId="0" borderId="0" xfId="0" applyNumberFormat="1" applyFont="1" applyFill="1" applyAlignment="1">
      <alignment horizontal="center"/>
    </xf>
    <xf numFmtId="170" fontId="6" fillId="0" borderId="0" xfId="0" applyFont="1" applyFill="1" applyBorder="1">
      <alignment horizontal="left" wrapText="1"/>
    </xf>
    <xf numFmtId="1" fontId="2" fillId="0" borderId="0" xfId="0" applyNumberFormat="1" applyFont="1" applyFill="1" applyAlignment="1"/>
    <xf numFmtId="41" fontId="2" fillId="0" borderId="0" xfId="0" applyNumberFormat="1" applyFont="1" applyFill="1" applyBorder="1">
      <alignment horizontal="left" wrapText="1"/>
    </xf>
    <xf numFmtId="165" fontId="2" fillId="0" borderId="0" xfId="0" applyNumberFormat="1" applyFont="1" applyFill="1" applyAlignment="1">
      <alignment vertical="top"/>
    </xf>
    <xf numFmtId="170" fontId="2" fillId="0" borderId="0" xfId="0" applyFont="1" applyFill="1" applyBorder="1" applyAlignment="1">
      <alignment horizontal="left" indent="1"/>
    </xf>
    <xf numFmtId="165" fontId="2" fillId="0" borderId="0" xfId="0" applyNumberFormat="1" applyFont="1" applyFill="1" applyBorder="1" applyAlignment="1"/>
    <xf numFmtId="170" fontId="2" fillId="0" borderId="0" xfId="0" applyFont="1" applyFill="1" applyBorder="1" applyAlignment="1">
      <alignment horizontal="left"/>
    </xf>
    <xf numFmtId="167" fontId="2" fillId="0" borderId="0" xfId="0" applyNumberFormat="1" applyFont="1" applyFill="1" applyBorder="1" applyAlignment="1">
      <alignment vertical="top"/>
    </xf>
    <xf numFmtId="178" fontId="2" fillId="0" borderId="0" xfId="0" applyNumberFormat="1" applyFont="1" applyFill="1" applyBorder="1" applyAlignment="1" applyProtection="1">
      <protection locked="0"/>
    </xf>
    <xf numFmtId="1" fontId="6" fillId="0" borderId="0" xfId="0" applyNumberFormat="1" applyFont="1" applyFill="1">
      <alignment horizontal="left" wrapText="1"/>
    </xf>
    <xf numFmtId="178" fontId="2" fillId="0" borderId="0" xfId="0" applyNumberFormat="1" applyFont="1" applyFill="1" applyBorder="1" applyAlignment="1">
      <alignment horizontal="right" wrapText="1"/>
    </xf>
    <xf numFmtId="0" fontId="3" fillId="0" borderId="3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Alignment="1">
      <alignment horizontal="left" vertical="center" indent="2"/>
    </xf>
    <xf numFmtId="0" fontId="2" fillId="0" borderId="0" xfId="0" applyNumberFormat="1" applyFont="1" applyFill="1" applyAlignment="1">
      <alignment horizontal="left" indent="2"/>
    </xf>
    <xf numFmtId="42" fontId="3" fillId="0" borderId="0" xfId="0" applyNumberFormat="1" applyFont="1" applyFill="1" applyBorder="1" applyAlignment="1"/>
    <xf numFmtId="178" fontId="7" fillId="0" borderId="0" xfId="0" applyNumberFormat="1" applyFont="1" applyFill="1" applyBorder="1" applyAlignment="1"/>
    <xf numFmtId="6" fontId="6" fillId="0" borderId="0" xfId="0" applyNumberFormat="1" applyFont="1" applyAlignment="1"/>
    <xf numFmtId="4" fontId="6" fillId="0" borderId="0" xfId="0" applyNumberFormat="1" applyFont="1" applyFill="1" applyAlignment="1">
      <alignment horizontal="left" wrapText="1"/>
    </xf>
    <xf numFmtId="170" fontId="2" fillId="0" borderId="0" xfId="0" applyNumberFormat="1" applyFont="1" applyFill="1" applyAlignment="1">
      <alignment horizontal="left" wrapText="1" indent="1"/>
    </xf>
    <xf numFmtId="0" fontId="24" fillId="0" borderId="0" xfId="0" applyNumberFormat="1" applyFont="1" applyAlignment="1"/>
    <xf numFmtId="0" fontId="16" fillId="0" borderId="0" xfId="0" applyNumberFormat="1" applyFont="1" applyFill="1" applyAlignment="1"/>
    <xf numFmtId="0" fontId="6" fillId="0" borderId="0" xfId="0" applyNumberFormat="1" applyFont="1" applyFill="1" applyAlignment="1"/>
    <xf numFmtId="170" fontId="23" fillId="0" borderId="0" xfId="0" applyFont="1" applyFill="1" applyAlignment="1" applyProtection="1">
      <alignment horizontal="centerContinuous" vertical="center"/>
      <protection locked="0"/>
    </xf>
    <xf numFmtId="170" fontId="23" fillId="0" borderId="0" xfId="0" applyFont="1" applyFill="1" applyAlignment="1">
      <alignment horizontal="centerContinuous" vertical="center"/>
    </xf>
    <xf numFmtId="170" fontId="25" fillId="0" borderId="0" xfId="0" applyFont="1" applyFill="1" applyAlignment="1">
      <alignment horizontal="centerContinuous" vertical="center"/>
    </xf>
    <xf numFmtId="170" fontId="23" fillId="0" borderId="0" xfId="0" applyFont="1" applyFill="1" applyAlignment="1">
      <alignment horizontal="centerContinuous"/>
    </xf>
    <xf numFmtId="0" fontId="23" fillId="0" borderId="0" xfId="0" applyNumberFormat="1" applyFont="1" applyFill="1" applyAlignment="1">
      <alignment horizontal="centerContinuous"/>
    </xf>
    <xf numFmtId="3" fontId="23" fillId="0" borderId="0" xfId="0" applyNumberFormat="1" applyFont="1" applyFill="1" applyAlignment="1">
      <alignment horizontal="centerContinuous"/>
    </xf>
    <xf numFmtId="15" fontId="23" fillId="0" borderId="0" xfId="0" applyNumberFormat="1" applyFont="1" applyFill="1" applyAlignment="1">
      <alignment horizontal="centerContinuous"/>
    </xf>
    <xf numFmtId="41" fontId="23" fillId="0" borderId="0" xfId="0" applyNumberFormat="1" applyFont="1" applyFill="1" applyAlignment="1">
      <alignment horizontal="centerContinuous"/>
    </xf>
    <xf numFmtId="0" fontId="23" fillId="0" borderId="0" xfId="0" applyNumberFormat="1" applyFont="1" applyFill="1" applyAlignment="1" applyProtection="1">
      <alignment horizontal="centerContinuous"/>
      <protection locked="0"/>
    </xf>
    <xf numFmtId="170" fontId="23" fillId="0" borderId="0" xfId="0" applyFont="1" applyFill="1" applyAlignment="1" applyProtection="1">
      <alignment horizontal="centerContinuous"/>
      <protection locked="0"/>
    </xf>
    <xf numFmtId="172" fontId="23" fillId="0" borderId="0" xfId="0" applyNumberFormat="1" applyFont="1" applyFill="1" applyBorder="1" applyAlignment="1">
      <alignment horizontal="centerContinuous"/>
    </xf>
    <xf numFmtId="0" fontId="26" fillId="0" borderId="0" xfId="0" applyNumberFormat="1" applyFont="1" applyFill="1" applyAlignment="1"/>
    <xf numFmtId="172" fontId="2" fillId="0" borderId="0" xfId="0" applyNumberFormat="1" applyFont="1" applyFill="1" applyAlignment="1">
      <alignment horizontal="left"/>
    </xf>
    <xf numFmtId="172" fontId="2" fillId="0" borderId="0" xfId="0" applyNumberFormat="1" applyFont="1" applyFill="1" applyBorder="1" applyAlignment="1">
      <alignment vertical="top"/>
    </xf>
    <xf numFmtId="41" fontId="2" fillId="0" borderId="0" xfId="0" applyNumberFormat="1" applyFont="1" applyFill="1" applyAlignment="1">
      <alignment vertical="center"/>
    </xf>
    <xf numFmtId="42" fontId="2" fillId="0" borderId="0" xfId="0" applyNumberFormat="1" applyFont="1" applyFill="1" applyBorder="1" applyAlignment="1" applyProtection="1">
      <protection locked="0"/>
    </xf>
    <xf numFmtId="10" fontId="2" fillId="0" borderId="0" xfId="0" applyNumberFormat="1" applyFont="1" applyFill="1" applyAlignment="1" applyProtection="1">
      <protection locked="0"/>
    </xf>
    <xf numFmtId="37" fontId="2" fillId="0" borderId="3" xfId="0" applyNumberFormat="1" applyFont="1" applyFill="1" applyBorder="1" applyAlignment="1">
      <alignment horizontal="right"/>
    </xf>
    <xf numFmtId="41" fontId="2" fillId="0" borderId="0" xfId="0" applyNumberFormat="1" applyFont="1" applyFill="1" applyAlignment="1"/>
    <xf numFmtId="42" fontId="2" fillId="0" borderId="0" xfId="0" applyNumberFormat="1" applyFont="1" applyFill="1" applyAlignment="1"/>
    <xf numFmtId="42" fontId="2" fillId="0" borderId="0" xfId="0" applyNumberFormat="1" applyFont="1" applyFill="1" applyBorder="1" applyAlignment="1">
      <alignment horizontal="right"/>
    </xf>
    <xf numFmtId="170" fontId="2" fillId="0" borderId="0" xfId="0" applyFont="1" applyFill="1">
      <alignment horizontal="left" wrapText="1"/>
    </xf>
    <xf numFmtId="37" fontId="2" fillId="0" borderId="0" xfId="0" applyNumberFormat="1" applyFont="1" applyFill="1" applyAlignment="1"/>
    <xf numFmtId="41" fontId="2" fillId="0" borderId="0" xfId="0" applyNumberFormat="1" applyFont="1" applyFill="1" applyAlignment="1"/>
    <xf numFmtId="182" fontId="2" fillId="0" borderId="0" xfId="0" applyNumberFormat="1" applyFont="1" applyFill="1" applyAlignment="1"/>
    <xf numFmtId="42" fontId="2" fillId="0" borderId="3" xfId="0" applyNumberFormat="1" applyFont="1" applyFill="1" applyBorder="1" applyAlignment="1"/>
    <xf numFmtId="41" fontId="2" fillId="0" borderId="3" xfId="0" applyNumberFormat="1" applyFont="1" applyFill="1" applyBorder="1" applyAlignment="1"/>
    <xf numFmtId="178" fontId="2" fillId="0" borderId="0" xfId="0" applyNumberFormat="1" applyFont="1" applyFill="1" applyBorder="1" applyAlignment="1"/>
    <xf numFmtId="37" fontId="2" fillId="0" borderId="0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 applyProtection="1">
      <protection locked="0"/>
    </xf>
    <xf numFmtId="178" fontId="2" fillId="0" borderId="0" xfId="0" applyNumberFormat="1" applyFont="1" applyFill="1" applyBorder="1" applyAlignment="1" applyProtection="1">
      <protection locked="0"/>
    </xf>
    <xf numFmtId="37" fontId="2" fillId="0" borderId="0" xfId="0" applyNumberFormat="1" applyFont="1" applyFill="1" applyBorder="1" applyAlignment="1">
      <alignment vertical="top"/>
    </xf>
    <xf numFmtId="0" fontId="0" fillId="0" borderId="4" xfId="0" applyNumberFormat="1" applyFill="1" applyBorder="1" applyAlignment="1"/>
    <xf numFmtId="37" fontId="2" fillId="0" borderId="3" xfId="0" applyNumberFormat="1" applyFont="1" applyFill="1" applyBorder="1" applyAlignment="1"/>
    <xf numFmtId="178" fontId="2" fillId="0" borderId="2" xfId="0" applyNumberFormat="1" applyFont="1" applyFill="1" applyBorder="1" applyAlignment="1" applyProtection="1">
      <protection locked="0"/>
    </xf>
    <xf numFmtId="42" fontId="2" fillId="0" borderId="0" xfId="0" applyNumberFormat="1" applyFont="1" applyFill="1" applyBorder="1" applyAlignment="1" applyProtection="1">
      <protection locked="0"/>
    </xf>
    <xf numFmtId="42" fontId="2" fillId="0" borderId="0" xfId="0" applyNumberFormat="1" applyFont="1" applyFill="1" applyBorder="1" applyAlignment="1"/>
    <xf numFmtId="42" fontId="3" fillId="0" borderId="2" xfId="0" applyNumberFormat="1" applyFont="1" applyFill="1" applyBorder="1" applyAlignment="1"/>
    <xf numFmtId="42" fontId="3" fillId="0" borderId="5" xfId="0" applyNumberFormat="1" applyFont="1" applyFill="1" applyBorder="1" applyAlignment="1"/>
    <xf numFmtId="42" fontId="2" fillId="0" borderId="0" xfId="0" applyNumberFormat="1" applyFont="1" applyFill="1" applyAlignment="1" applyProtection="1">
      <alignment horizontal="right"/>
      <protection locked="0"/>
    </xf>
    <xf numFmtId="172" fontId="2" fillId="0" borderId="3" xfId="0" applyNumberFormat="1" applyFont="1" applyFill="1" applyBorder="1" applyAlignment="1" applyProtection="1">
      <alignment horizontal="right"/>
      <protection locked="0"/>
    </xf>
    <xf numFmtId="42" fontId="2" fillId="0" borderId="0" xfId="0" applyNumberFormat="1" applyFont="1" applyFill="1" applyAlignment="1">
      <alignment horizontal="right"/>
    </xf>
    <xf numFmtId="42" fontId="2" fillId="0" borderId="4" xfId="0" applyNumberFormat="1" applyFont="1" applyFill="1" applyBorder="1" applyAlignment="1" applyProtection="1">
      <alignment horizontal="right"/>
      <protection locked="0"/>
    </xf>
    <xf numFmtId="41" fontId="2" fillId="0" borderId="0" xfId="0" applyNumberFormat="1" applyFont="1" applyFill="1" applyBorder="1" applyAlignment="1" applyProtection="1">
      <alignment horizontal="right"/>
      <protection locked="0"/>
    </xf>
    <xf numFmtId="42" fontId="3" fillId="0" borderId="2" xfId="0" applyNumberFormat="1" applyFont="1" applyFill="1" applyBorder="1" applyAlignment="1"/>
    <xf numFmtId="41" fontId="2" fillId="0" borderId="0" xfId="0" applyNumberFormat="1" applyFont="1" applyFill="1" applyBorder="1" applyAlignment="1" applyProtection="1">
      <protection locked="0"/>
    </xf>
    <xf numFmtId="42" fontId="3" fillId="0" borderId="5" xfId="0" applyNumberFormat="1" applyFont="1" applyFill="1" applyBorder="1" applyAlignment="1"/>
    <xf numFmtId="42" fontId="2" fillId="0" borderId="4" xfId="0" applyNumberFormat="1" applyFont="1" applyFill="1" applyBorder="1" applyAlignment="1"/>
    <xf numFmtId="3" fontId="2" fillId="0" borderId="0" xfId="0" applyNumberFormat="1" applyFont="1" applyFill="1" applyAlignment="1">
      <alignment horizontal="right"/>
    </xf>
    <xf numFmtId="9" fontId="2" fillId="0" borderId="0" xfId="0" applyNumberFormat="1" applyFont="1" applyFill="1" applyAlignment="1"/>
    <xf numFmtId="42" fontId="14" fillId="0" borderId="5" xfId="0" applyNumberFormat="1" applyFont="1" applyFill="1" applyBorder="1" applyAlignment="1"/>
    <xf numFmtId="42" fontId="2" fillId="0" borderId="0" xfId="0" applyNumberFormat="1" applyFont="1" applyFill="1" applyBorder="1" applyAlignment="1">
      <alignment horizontal="center"/>
    </xf>
    <xf numFmtId="42" fontId="7" fillId="0" borderId="0" xfId="0" applyNumberFormat="1" applyFont="1" applyFill="1" applyBorder="1" applyAlignment="1"/>
    <xf numFmtId="41" fontId="7" fillId="0" borderId="3" xfId="0" applyNumberFormat="1" applyFont="1" applyFill="1" applyBorder="1" applyAlignment="1"/>
    <xf numFmtId="41" fontId="7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 applyBorder="1" applyAlignment="1">
      <alignment horizontal="center"/>
    </xf>
    <xf numFmtId="41" fontId="7" fillId="0" borderId="0" xfId="0" applyNumberFormat="1" applyFont="1" applyFill="1" applyBorder="1" applyAlignment="1"/>
    <xf numFmtId="41" fontId="7" fillId="0" borderId="3" xfId="0" applyNumberFormat="1" applyFont="1" applyFill="1" applyBorder="1" applyAlignment="1"/>
    <xf numFmtId="41" fontId="7" fillId="0" borderId="0" xfId="0" applyNumberFormat="1" applyFont="1" applyFill="1" applyAlignment="1"/>
    <xf numFmtId="41" fontId="2" fillId="0" borderId="0" xfId="0" applyNumberFormat="1" applyFont="1" applyFill="1" applyBorder="1" applyAlignment="1" applyProtection="1">
      <protection locked="0"/>
    </xf>
    <xf numFmtId="42" fontId="7" fillId="0" borderId="5" xfId="0" applyNumberFormat="1" applyFont="1" applyFill="1" applyBorder="1" applyAlignment="1"/>
    <xf numFmtId="42" fontId="2" fillId="0" borderId="0" xfId="0" applyNumberFormat="1" applyFont="1" applyFill="1" applyAlignment="1"/>
    <xf numFmtId="177" fontId="2" fillId="0" borderId="0" xfId="0" applyNumberFormat="1" applyFont="1" applyFill="1" applyAlignment="1"/>
    <xf numFmtId="177" fontId="2" fillId="0" borderId="4" xfId="0" applyNumberFormat="1" applyFont="1" applyFill="1" applyBorder="1" applyAlignment="1"/>
    <xf numFmtId="42" fontId="2" fillId="0" borderId="0" xfId="0" applyNumberFormat="1" applyFont="1" applyFill="1">
      <alignment horizontal="left" wrapText="1"/>
    </xf>
    <xf numFmtId="37" fontId="2" fillId="0" borderId="0" xfId="0" applyNumberFormat="1" applyFont="1" applyFill="1" applyBorder="1" applyAlignment="1"/>
    <xf numFmtId="9" fontId="2" fillId="0" borderId="0" xfId="0" applyNumberFormat="1" applyFont="1" applyFill="1" applyBorder="1" applyAlignment="1"/>
    <xf numFmtId="37" fontId="2" fillId="0" borderId="0" xfId="0" applyNumberFormat="1" applyFont="1" applyFill="1" applyAlignment="1">
      <alignment horizontal="right" wrapText="1"/>
    </xf>
    <xf numFmtId="42" fontId="3" fillId="0" borderId="2" xfId="0" applyNumberFormat="1" applyFont="1" applyFill="1" applyBorder="1">
      <alignment horizontal="left" wrapText="1"/>
    </xf>
    <xf numFmtId="41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Alignment="1">
      <alignment horizontal="left" wrapText="1"/>
    </xf>
    <xf numFmtId="3" fontId="2" fillId="0" borderId="0" xfId="0" applyNumberFormat="1" applyFont="1" applyFill="1" applyBorder="1" applyAlignment="1">
      <alignment horizontal="left" wrapText="1"/>
    </xf>
    <xf numFmtId="42" fontId="2" fillId="0" borderId="2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177" fontId="2" fillId="0" borderId="3" xfId="0" applyNumberFormat="1" applyFont="1" applyFill="1" applyBorder="1" applyAlignment="1"/>
    <xf numFmtId="37" fontId="2" fillId="0" borderId="0" xfId="0" applyNumberFormat="1" applyFont="1" applyFill="1" applyBorder="1" applyAlignment="1">
      <alignment horizontal="right"/>
    </xf>
    <xf numFmtId="177" fontId="2" fillId="0" borderId="4" xfId="0" applyNumberFormat="1" applyFont="1" applyFill="1" applyBorder="1" applyAlignment="1"/>
    <xf numFmtId="4" fontId="2" fillId="0" borderId="0" xfId="0" applyNumberFormat="1" applyFont="1" applyFill="1" applyBorder="1" applyAlignment="1"/>
    <xf numFmtId="169" fontId="2" fillId="0" borderId="0" xfId="0" applyNumberFormat="1" applyFont="1" applyFill="1">
      <alignment horizontal="left" wrapText="1"/>
    </xf>
    <xf numFmtId="177" fontId="2" fillId="0" borderId="0" xfId="0" applyNumberFormat="1" applyFont="1" applyFill="1" applyAlignment="1"/>
    <xf numFmtId="178" fontId="2" fillId="0" borderId="1" xfId="0" applyNumberFormat="1" applyFont="1" applyFill="1" applyBorder="1" applyAlignment="1"/>
    <xf numFmtId="178" fontId="2" fillId="0" borderId="0" xfId="0" applyNumberFormat="1" applyFont="1" applyFill="1" applyAlignment="1">
      <alignment horizontal="right" wrapText="1"/>
    </xf>
    <xf numFmtId="178" fontId="2" fillId="0" borderId="1" xfId="0" applyNumberFormat="1" applyFont="1" applyFill="1" applyBorder="1" applyAlignment="1">
      <alignment horizontal="right" wrapText="1"/>
    </xf>
    <xf numFmtId="10" fontId="2" fillId="0" borderId="3" xfId="0" applyNumberFormat="1" applyFont="1" applyFill="1" applyBorder="1" applyAlignment="1">
      <alignment horizontal="right"/>
    </xf>
    <xf numFmtId="41" fontId="2" fillId="0" borderId="0" xfId="0" applyNumberFormat="1" applyFont="1" applyFill="1" applyBorder="1" applyAlignment="1">
      <alignment horizontal="right"/>
    </xf>
    <xf numFmtId="170" fontId="2" fillId="0" borderId="4" xfId="0" applyFont="1" applyFill="1" applyBorder="1" applyAlignment="1"/>
    <xf numFmtId="37" fontId="2" fillId="0" borderId="4" xfId="0" applyNumberFormat="1" applyFont="1" applyFill="1" applyBorder="1" applyAlignment="1"/>
    <xf numFmtId="41" fontId="2" fillId="0" borderId="4" xfId="0" applyNumberFormat="1" applyFont="1" applyFill="1" applyBorder="1" applyAlignment="1"/>
    <xf numFmtId="41" fontId="2" fillId="0" borderId="4" xfId="0" applyNumberFormat="1" applyFont="1" applyFill="1" applyBorder="1" applyAlignment="1"/>
    <xf numFmtId="42" fontId="2" fillId="0" borderId="2" xfId="0" applyNumberFormat="1" applyFont="1" applyFill="1" applyBorder="1" applyAlignment="1"/>
    <xf numFmtId="170" fontId="2" fillId="0" borderId="0" xfId="0" applyFont="1" applyFill="1" applyBorder="1" applyAlignment="1">
      <alignment horizontal="right"/>
    </xf>
    <xf numFmtId="168" fontId="11" fillId="0" borderId="0" xfId="0" applyNumberFormat="1" applyFont="1" applyFill="1" applyBorder="1" applyAlignment="1"/>
    <xf numFmtId="170" fontId="2" fillId="0" borderId="3" xfId="0" applyNumberFormat="1" applyFont="1" applyFill="1" applyBorder="1" applyAlignment="1"/>
    <xf numFmtId="168" fontId="11" fillId="0" borderId="0" xfId="0" applyNumberFormat="1" applyFont="1" applyFill="1" applyAlignment="1"/>
    <xf numFmtId="9" fontId="11" fillId="0" borderId="0" xfId="0" applyNumberFormat="1" applyFont="1" applyFill="1" applyAlignment="1"/>
    <xf numFmtId="43" fontId="2" fillId="0" borderId="0" xfId="0" applyNumberFormat="1" applyFont="1" applyFill="1" applyAlignment="1"/>
    <xf numFmtId="170" fontId="2" fillId="0" borderId="0" xfId="0" applyFont="1" applyFill="1" applyAlignment="1">
      <alignment horizontal="left"/>
    </xf>
    <xf numFmtId="170" fontId="23" fillId="0" borderId="0" xfId="0" applyFont="1" applyFill="1" applyAlignment="1"/>
    <xf numFmtId="170" fontId="2" fillId="0" borderId="0" xfId="0" applyNumberFormat="1" applyFont="1" applyFill="1" applyBorder="1" applyAlignment="1"/>
    <xf numFmtId="170" fontId="2" fillId="0" borderId="0" xfId="0" applyFont="1" applyFill="1" applyBorder="1" applyAlignment="1"/>
    <xf numFmtId="172" fontId="2" fillId="0" borderId="0" xfId="0" applyNumberFormat="1" applyFont="1" applyFill="1" applyBorder="1" applyAlignment="1" applyProtection="1">
      <protection locked="0"/>
    </xf>
    <xf numFmtId="170" fontId="4" fillId="0" borderId="0" xfId="0" applyFont="1" applyBorder="1" applyAlignment="1">
      <alignment horizontal="left"/>
    </xf>
    <xf numFmtId="170" fontId="2" fillId="0" borderId="0" xfId="0" quotePrefix="1" applyFont="1" applyFill="1" applyAlignment="1">
      <alignment horizontal="left"/>
    </xf>
    <xf numFmtId="170" fontId="2" fillId="0" borderId="3" xfId="0" quotePrefix="1" applyFont="1" applyFill="1" applyBorder="1" applyAlignment="1">
      <alignment horizontal="left"/>
    </xf>
    <xf numFmtId="170" fontId="2" fillId="0" borderId="0" xfId="0" quotePrefix="1" applyFont="1" applyFill="1" applyBorder="1" applyAlignment="1">
      <alignment horizontal="left"/>
    </xf>
    <xf numFmtId="170" fontId="0" fillId="0" borderId="0" xfId="0" applyFill="1" applyAlignment="1"/>
    <xf numFmtId="172" fontId="4" fillId="0" borderId="0" xfId="0" applyNumberFormat="1" applyFont="1" applyFill="1" applyBorder="1" applyAlignment="1" applyProtection="1">
      <protection locked="0"/>
    </xf>
    <xf numFmtId="170" fontId="2" fillId="0" borderId="0" xfId="0" applyNumberFormat="1" applyFont="1" applyFill="1" applyAlignment="1">
      <alignment horizontal="left"/>
    </xf>
    <xf numFmtId="170" fontId="0" fillId="0" borderId="0" xfId="0" applyAlignment="1"/>
    <xf numFmtId="41" fontId="2" fillId="0" borderId="0" xfId="0" applyNumberFormat="1" applyFont="1" applyFill="1" applyBorder="1" applyAlignment="1"/>
    <xf numFmtId="170" fontId="2" fillId="0" borderId="0" xfId="0" applyFont="1" applyFill="1" applyBorder="1">
      <alignment horizontal="left" wrapText="1"/>
    </xf>
    <xf numFmtId="37" fontId="2" fillId="0" borderId="0" xfId="0" applyNumberFormat="1" applyFont="1" applyFill="1" applyAlignment="1">
      <alignment horizontal="right" wrapText="1"/>
    </xf>
    <xf numFmtId="178" fontId="2" fillId="0" borderId="4" xfId="0" applyNumberFormat="1" applyFont="1" applyFill="1" applyBorder="1" applyAlignment="1">
      <alignment horizontal="right" wrapText="1"/>
    </xf>
    <xf numFmtId="170" fontId="0" fillId="0" borderId="0" xfId="0" applyBorder="1" applyAlignment="1"/>
    <xf numFmtId="4" fontId="0" fillId="0" borderId="0" xfId="0" applyNumberFormat="1" applyAlignment="1"/>
    <xf numFmtId="41" fontId="2" fillId="0" borderId="0" xfId="0" applyNumberFormat="1" applyFont="1" applyAlignment="1"/>
    <xf numFmtId="178" fontId="2" fillId="0" borderId="2" xfId="0" applyNumberFormat="1" applyFont="1" applyBorder="1" applyAlignment="1"/>
    <xf numFmtId="42" fontId="2" fillId="0" borderId="0" xfId="0" applyNumberFormat="1" applyFont="1" applyFill="1" applyAlignment="1">
      <alignment horizontal="right"/>
    </xf>
    <xf numFmtId="0" fontId="18" fillId="0" borderId="0" xfId="0" applyNumberFormat="1" applyFont="1" applyFill="1" applyAlignment="1">
      <alignment horizontal="centerContinuous"/>
    </xf>
    <xf numFmtId="0" fontId="18" fillId="0" borderId="0" xfId="0" applyNumberFormat="1" applyFont="1" applyFill="1" applyAlignment="1"/>
    <xf numFmtId="183" fontId="3" fillId="0" borderId="7" xfId="0" applyNumberFormat="1" applyFont="1" applyFill="1" applyBorder="1" applyAlignment="1">
      <alignment horizontal="right"/>
    </xf>
    <xf numFmtId="0" fontId="3" fillId="0" borderId="3" xfId="0" applyNumberFormat="1" applyFont="1" applyFill="1" applyBorder="1" applyAlignment="1" applyProtection="1">
      <alignment horizontal="centerContinuous"/>
      <protection locked="0"/>
    </xf>
    <xf numFmtId="170" fontId="2" fillId="0" borderId="0" xfId="0" applyFont="1" applyFill="1" applyAlignment="1">
      <alignment horizontal="right" wrapText="1"/>
    </xf>
    <xf numFmtId="170" fontId="6" fillId="0" borderId="0" xfId="0" applyFont="1" applyFill="1" applyAlignment="1">
      <alignment horizontal="right" wrapText="1"/>
    </xf>
    <xf numFmtId="22" fontId="2" fillId="0" borderId="0" xfId="0" applyNumberFormat="1" applyFont="1" applyFill="1" applyAlignment="1">
      <alignment horizontal="right"/>
    </xf>
    <xf numFmtId="15" fontId="2" fillId="0" borderId="0" xfId="0" applyNumberFormat="1" applyFont="1" applyFill="1" applyAlignment="1">
      <alignment horizontal="right"/>
    </xf>
    <xf numFmtId="170" fontId="2" fillId="0" borderId="0" xfId="0" applyFont="1" applyFill="1" applyAlignment="1">
      <alignment horizontal="right"/>
    </xf>
    <xf numFmtId="172" fontId="2" fillId="0" borderId="0" xfId="0" applyNumberFormat="1" applyFont="1" applyFill="1" applyBorder="1" applyAlignment="1">
      <alignment horizontal="right"/>
    </xf>
    <xf numFmtId="0" fontId="3" fillId="0" borderId="7" xfId="0" quotePrefix="1" applyNumberFormat="1" applyFont="1" applyFill="1" applyBorder="1" applyAlignment="1">
      <alignment horizontal="right"/>
    </xf>
    <xf numFmtId="0" fontId="3" fillId="0" borderId="6" xfId="0" applyNumberFormat="1" applyFont="1" applyFill="1" applyBorder="1" applyAlignment="1">
      <alignment horizontal="right"/>
    </xf>
    <xf numFmtId="170" fontId="2" fillId="0" borderId="0" xfId="0" applyNumberFormat="1" applyFont="1" applyFill="1" applyBorder="1" applyAlignment="1"/>
    <xf numFmtId="0" fontId="3" fillId="0" borderId="0" xfId="0" applyNumberFormat="1" applyFont="1" applyFill="1" applyAlignment="1">
      <alignment horizontal="left" indent="1"/>
    </xf>
    <xf numFmtId="17" fontId="3" fillId="0" borderId="0" xfId="0" applyNumberFormat="1" applyFont="1" applyFill="1" applyBorder="1" applyAlignment="1">
      <alignment horizontal="center"/>
    </xf>
    <xf numFmtId="10" fontId="6" fillId="0" borderId="0" xfId="0" applyNumberFormat="1" applyFont="1" applyAlignment="1"/>
    <xf numFmtId="185" fontId="16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left" indent="1"/>
    </xf>
    <xf numFmtId="172" fontId="23" fillId="0" borderId="0" xfId="0" applyNumberFormat="1" applyFont="1" applyFill="1" applyAlignment="1"/>
    <xf numFmtId="0" fontId="23" fillId="0" borderId="0" xfId="0" applyNumberFormat="1" applyFont="1" applyFill="1" applyAlignment="1" applyProtection="1">
      <alignment horizontal="center"/>
      <protection locked="0"/>
    </xf>
    <xf numFmtId="42" fontId="2" fillId="0" borderId="3" xfId="0" applyNumberFormat="1" applyFont="1" applyFill="1" applyBorder="1" applyAlignment="1" applyProtection="1">
      <protection locked="0"/>
    </xf>
    <xf numFmtId="42" fontId="2" fillId="0" borderId="4" xfId="0" applyNumberFormat="1" applyFont="1" applyFill="1" applyBorder="1" applyAlignment="1" applyProtection="1"/>
    <xf numFmtId="42" fontId="2" fillId="0" borderId="2" xfId="0" applyNumberFormat="1" applyFont="1" applyFill="1" applyBorder="1" applyAlignment="1" applyProtection="1"/>
    <xf numFmtId="170" fontId="2" fillId="0" borderId="0" xfId="0" applyNumberFormat="1" applyFont="1" applyFill="1" applyBorder="1">
      <alignment horizontal="left" wrapText="1"/>
    </xf>
    <xf numFmtId="0" fontId="6" fillId="0" borderId="0" xfId="0" applyNumberFormat="1" applyFont="1" applyAlignment="1"/>
    <xf numFmtId="42" fontId="6" fillId="2" borderId="9" xfId="0" applyNumberFormat="1" applyFont="1" applyFill="1" applyBorder="1" applyAlignment="1"/>
    <xf numFmtId="42" fontId="6" fillId="0" borderId="9" xfId="0" applyNumberFormat="1" applyFont="1" applyBorder="1" applyAlignment="1"/>
    <xf numFmtId="0" fontId="27" fillId="0" borderId="11" xfId="0" applyNumberFormat="1" applyFont="1" applyBorder="1" applyAlignment="1"/>
    <xf numFmtId="0" fontId="6" fillId="0" borderId="11" xfId="0" applyNumberFormat="1" applyFont="1" applyBorder="1" applyAlignment="1">
      <alignment horizontal="left"/>
    </xf>
    <xf numFmtId="0" fontId="6" fillId="0" borderId="11" xfId="0" applyNumberFormat="1" applyFont="1" applyBorder="1" applyAlignment="1">
      <alignment horizontal="center"/>
    </xf>
    <xf numFmtId="0" fontId="27" fillId="0" borderId="12" xfId="0" applyNumberFormat="1" applyFont="1" applyFill="1" applyBorder="1" applyAlignment="1"/>
    <xf numFmtId="0" fontId="27" fillId="0" borderId="12" xfId="0" applyNumberFormat="1" applyFont="1" applyBorder="1" applyAlignment="1"/>
    <xf numFmtId="0" fontId="27" fillId="0" borderId="12" xfId="0" applyNumberFormat="1" applyFont="1" applyBorder="1" applyAlignment="1"/>
    <xf numFmtId="0" fontId="6" fillId="0" borderId="12" xfId="0" applyNumberFormat="1" applyFont="1" applyBorder="1" applyAlignment="1">
      <alignment horizontal="left"/>
    </xf>
    <xf numFmtId="0" fontId="6" fillId="0" borderId="12" xfId="0" applyNumberFormat="1" applyFont="1" applyBorder="1" applyAlignment="1">
      <alignment horizontal="center"/>
    </xf>
    <xf numFmtId="42" fontId="6" fillId="0" borderId="13" xfId="0" applyNumberFormat="1" applyFont="1" applyBorder="1" applyAlignment="1"/>
    <xf numFmtId="3" fontId="6" fillId="0" borderId="13" xfId="0" applyNumberFormat="1" applyFont="1" applyFill="1" applyBorder="1" applyAlignment="1"/>
    <xf numFmtId="3" fontId="6" fillId="0" borderId="13" xfId="0" applyNumberFormat="1" applyFont="1" applyBorder="1" applyAlignment="1"/>
    <xf numFmtId="9" fontId="27" fillId="0" borderId="12" xfId="0" applyNumberFormat="1" applyFont="1" applyFill="1" applyBorder="1" applyAlignment="1"/>
    <xf numFmtId="42" fontId="6" fillId="0" borderId="12" xfId="0" applyNumberFormat="1" applyFont="1" applyBorder="1" applyAlignment="1"/>
    <xf numFmtId="42" fontId="6" fillId="0" borderId="13" xfId="0" applyNumberFormat="1" applyFont="1" applyFill="1" applyBorder="1" applyAlignment="1"/>
    <xf numFmtId="0" fontId="28" fillId="0" borderId="0" xfId="0" applyNumberFormat="1" applyFont="1" applyAlignment="1">
      <alignment horizontal="center"/>
    </xf>
    <xf numFmtId="42" fontId="28" fillId="0" borderId="0" xfId="0" applyNumberFormat="1" applyFont="1" applyAlignment="1">
      <alignment horizontal="center"/>
    </xf>
    <xf numFmtId="42" fontId="6" fillId="0" borderId="12" xfId="0" applyNumberFormat="1" applyFont="1" applyFill="1" applyBorder="1" applyAlignment="1"/>
    <xf numFmtId="0" fontId="6" fillId="0" borderId="12" xfId="0" applyNumberFormat="1" applyFont="1" applyBorder="1" applyAlignment="1"/>
    <xf numFmtId="10" fontId="27" fillId="0" borderId="12" xfId="0" applyNumberFormat="1" applyFont="1" applyBorder="1" applyAlignment="1"/>
    <xf numFmtId="42" fontId="6" fillId="0" borderId="14" xfId="0" applyNumberFormat="1" applyFont="1" applyFill="1" applyBorder="1" applyAlignment="1"/>
    <xf numFmtId="0" fontId="27" fillId="0" borderId="13" xfId="0" applyNumberFormat="1" applyFont="1" applyBorder="1" applyAlignment="1"/>
    <xf numFmtId="0" fontId="6" fillId="0" borderId="13" xfId="0" applyNumberFormat="1" applyFont="1" applyBorder="1" applyAlignment="1">
      <alignment horizontal="left"/>
    </xf>
    <xf numFmtId="0" fontId="6" fillId="0" borderId="13" xfId="0" applyNumberFormat="1" applyFont="1" applyBorder="1" applyAlignment="1">
      <alignment horizontal="center"/>
    </xf>
    <xf numFmtId="0" fontId="16" fillId="2" borderId="15" xfId="0" applyNumberFormat="1" applyFont="1" applyFill="1" applyBorder="1" applyAlignment="1">
      <alignment horizontal="center" vertical="center" wrapText="1"/>
    </xf>
    <xf numFmtId="0" fontId="6" fillId="3" borderId="15" xfId="0" applyNumberFormat="1" applyFont="1" applyFill="1" applyBorder="1" applyAlignment="1">
      <alignment horizontal="center" vertical="center" wrapText="1"/>
    </xf>
    <xf numFmtId="0" fontId="6" fillId="3" borderId="16" xfId="0" applyNumberFormat="1" applyFont="1" applyFill="1" applyBorder="1" applyAlignment="1">
      <alignment horizontal="center" vertical="center" wrapText="1"/>
    </xf>
    <xf numFmtId="0" fontId="16" fillId="0" borderId="15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Continuous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 wrapText="1"/>
    </xf>
    <xf numFmtId="0" fontId="6" fillId="3" borderId="10" xfId="0" applyNumberFormat="1" applyFont="1" applyFill="1" applyBorder="1" applyAlignment="1">
      <alignment horizontal="centerContinuous"/>
    </xf>
    <xf numFmtId="0" fontId="6" fillId="3" borderId="17" xfId="0" applyNumberFormat="1" applyFont="1" applyFill="1" applyBorder="1" applyAlignment="1">
      <alignment horizontal="centerContinuous"/>
    </xf>
    <xf numFmtId="0" fontId="16" fillId="0" borderId="0" xfId="0" applyNumberFormat="1" applyFont="1" applyAlignment="1"/>
    <xf numFmtId="0" fontId="6" fillId="3" borderId="18" xfId="0" applyNumberFormat="1" applyFont="1" applyFill="1" applyBorder="1" applyAlignment="1">
      <alignment horizontal="centerContinuous"/>
    </xf>
    <xf numFmtId="0" fontId="16" fillId="0" borderId="0" xfId="0" applyNumberFormat="1" applyFont="1" applyAlignment="1">
      <alignment horizontal="centerContinuous"/>
    </xf>
    <xf numFmtId="0" fontId="6" fillId="0" borderId="0" xfId="0" applyNumberFormat="1" applyFont="1" applyAlignment="1">
      <alignment horizontal="centerContinuous"/>
    </xf>
    <xf numFmtId="9" fontId="6" fillId="0" borderId="0" xfId="0" applyNumberFormat="1" applyFont="1" applyFill="1" applyAlignment="1"/>
    <xf numFmtId="168" fontId="24" fillId="0" borderId="0" xfId="0" applyNumberFormat="1" applyFont="1" applyFill="1" applyAlignment="1"/>
    <xf numFmtId="0" fontId="6" fillId="0" borderId="0" xfId="0" applyNumberFormat="1" applyFont="1" applyFill="1" applyAlignment="1"/>
    <xf numFmtId="178" fontId="6" fillId="0" borderId="0" xfId="0" applyNumberFormat="1" applyFont="1" applyFill="1" applyAlignment="1"/>
    <xf numFmtId="10" fontId="6" fillId="0" borderId="0" xfId="0" applyNumberFormat="1" applyFont="1" applyFill="1" applyAlignment="1"/>
    <xf numFmtId="0" fontId="6" fillId="0" borderId="0" xfId="0" quotePrefix="1" applyNumberFormat="1" applyFont="1" applyFill="1" applyAlignment="1"/>
    <xf numFmtId="10" fontId="6" fillId="0" borderId="0" xfId="0" applyNumberFormat="1" applyFont="1" applyFill="1" applyAlignment="1"/>
    <xf numFmtId="6" fontId="6" fillId="0" borderId="0" xfId="0" applyNumberFormat="1" applyFont="1" applyFill="1" applyAlignment="1"/>
    <xf numFmtId="42" fontId="6" fillId="0" borderId="19" xfId="0" applyNumberFormat="1" applyFont="1" applyFill="1" applyBorder="1" applyAlignment="1"/>
    <xf numFmtId="3" fontId="6" fillId="0" borderId="19" xfId="0" applyNumberFormat="1" applyFont="1" applyFill="1" applyBorder="1" applyAlignment="1"/>
    <xf numFmtId="42" fontId="6" fillId="0" borderId="9" xfId="0" applyNumberFormat="1" applyFont="1" applyFill="1" applyBorder="1" applyAlignment="1"/>
    <xf numFmtId="42" fontId="6" fillId="0" borderId="12" xfId="0" applyNumberFormat="1" applyFont="1" applyFill="1" applyBorder="1" applyAlignment="1"/>
    <xf numFmtId="0" fontId="16" fillId="0" borderId="7" xfId="0" applyNumberFormat="1" applyFont="1" applyBorder="1" applyAlignment="1">
      <alignment horizontal="right"/>
    </xf>
    <xf numFmtId="0" fontId="6" fillId="0" borderId="0" xfId="0" applyNumberFormat="1" applyFont="1" applyBorder="1" applyAlignment="1"/>
    <xf numFmtId="170" fontId="2" fillId="0" borderId="3" xfId="0" applyNumberFormat="1" applyFont="1" applyFill="1" applyBorder="1" applyAlignment="1"/>
    <xf numFmtId="0" fontId="16" fillId="0" borderId="0" xfId="0" applyNumberFormat="1" applyFont="1" applyAlignment="1">
      <alignment horizontal="left"/>
    </xf>
    <xf numFmtId="0" fontId="25" fillId="0" borderId="0" xfId="0" applyNumberFormat="1" applyFont="1" applyAlignment="1"/>
    <xf numFmtId="186" fontId="2" fillId="0" borderId="0" xfId="0" applyNumberFormat="1" applyFont="1" applyFill="1" applyAlignment="1"/>
    <xf numFmtId="167" fontId="2" fillId="0" borderId="0" xfId="0" applyNumberFormat="1" applyFont="1" applyFill="1" applyAlignment="1"/>
    <xf numFmtId="187" fontId="2" fillId="0" borderId="3" xfId="0" applyNumberFormat="1" applyFont="1" applyFill="1" applyBorder="1" applyAlignment="1"/>
    <xf numFmtId="9" fontId="29" fillId="4" borderId="0" xfId="0" applyNumberFormat="1" applyFont="1" applyFill="1" applyBorder="1" applyAlignment="1">
      <alignment horizontal="right" wrapText="1"/>
    </xf>
    <xf numFmtId="186" fontId="29" fillId="4" borderId="0" xfId="0" applyNumberFormat="1" applyFont="1" applyFill="1" applyAlignment="1"/>
    <xf numFmtId="186" fontId="2" fillId="0" borderId="0" xfId="0" applyNumberFormat="1" applyFont="1" applyFill="1" applyBorder="1" applyAlignment="1"/>
    <xf numFmtId="186" fontId="2" fillId="0" borderId="8" xfId="0" applyNumberFormat="1" applyFont="1" applyFill="1" applyBorder="1" applyAlignment="1"/>
    <xf numFmtId="186" fontId="29" fillId="4" borderId="5" xfId="0" applyNumberFormat="1" applyFont="1" applyFill="1" applyBorder="1" applyAlignment="1" applyProtection="1">
      <protection locked="0"/>
    </xf>
    <xf numFmtId="186" fontId="27" fillId="0" borderId="12" xfId="0" applyNumberFormat="1" applyFont="1" applyBorder="1" applyAlignment="1"/>
    <xf numFmtId="0" fontId="22" fillId="0" borderId="0" xfId="0" applyNumberFormat="1" applyFont="1" applyFill="1" applyBorder="1" applyAlignment="1">
      <alignment horizontal="center"/>
    </xf>
    <xf numFmtId="173" fontId="2" fillId="0" borderId="0" xfId="0" quotePrefix="1" applyNumberFormat="1" applyFont="1" applyFill="1" applyBorder="1" applyAlignment="1">
      <alignment horizontal="left"/>
    </xf>
    <xf numFmtId="17" fontId="2" fillId="0" borderId="0" xfId="0" applyNumberFormat="1" applyFont="1" applyFill="1" applyAlignment="1"/>
    <xf numFmtId="170" fontId="6" fillId="0" borderId="0" xfId="0" applyFont="1" applyFill="1" applyAlignment="1"/>
    <xf numFmtId="1" fontId="6" fillId="0" borderId="0" xfId="0" applyNumberFormat="1" applyFont="1" applyFill="1" applyAlignment="1"/>
    <xf numFmtId="170" fontId="6" fillId="0" borderId="0" xfId="0" applyFont="1" applyFill="1" applyAlignment="1">
      <alignment horizontal="right"/>
    </xf>
    <xf numFmtId="170" fontId="6" fillId="0" borderId="0" xfId="0" applyFont="1" applyFill="1" applyBorder="1" applyAlignment="1"/>
    <xf numFmtId="170" fontId="30" fillId="0" borderId="0" xfId="0" applyFont="1" applyFill="1" applyBorder="1" applyAlignment="1">
      <alignment horizontal="right"/>
    </xf>
    <xf numFmtId="170" fontId="2" fillId="0" borderId="0" xfId="0" applyNumberFormat="1" applyFont="1" applyFill="1" applyAlignment="1"/>
    <xf numFmtId="0" fontId="2" fillId="0" borderId="0" xfId="0" applyNumberFormat="1" applyFont="1" applyFill="1" applyAlignment="1"/>
    <xf numFmtId="41" fontId="2" fillId="0" borderId="0" xfId="0" applyNumberFormat="1" applyFont="1" applyFill="1" applyAlignment="1" applyProtection="1">
      <protection locked="0"/>
    </xf>
    <xf numFmtId="41" fontId="2" fillId="0" borderId="0" xfId="0" applyNumberFormat="1" applyFont="1" applyFill="1" applyAlignment="1"/>
    <xf numFmtId="41" fontId="2" fillId="0" borderId="0" xfId="0" applyNumberFormat="1" applyFont="1" applyFill="1" applyBorder="1" applyAlignment="1" applyProtection="1">
      <protection locked="0"/>
    </xf>
    <xf numFmtId="41" fontId="2" fillId="0" borderId="0" xfId="0" applyNumberFormat="1" applyFont="1" applyFill="1" applyAlignment="1"/>
    <xf numFmtId="41" fontId="2" fillId="0" borderId="0" xfId="0" applyNumberFormat="1" applyFont="1" applyFill="1" applyBorder="1" applyAlignment="1" applyProtection="1">
      <alignment vertical="top"/>
      <protection locked="0"/>
    </xf>
    <xf numFmtId="41" fontId="3" fillId="0" borderId="2" xfId="0" applyNumberFormat="1" applyFont="1" applyFill="1" applyBorder="1" applyAlignment="1"/>
    <xf numFmtId="41" fontId="2" fillId="0" borderId="8" xfId="0" applyNumberFormat="1" applyFont="1" applyFill="1" applyBorder="1" applyAlignment="1" applyProtection="1">
      <protection locked="0"/>
    </xf>
    <xf numFmtId="41" fontId="2" fillId="0" borderId="8" xfId="0" applyNumberFormat="1" applyFont="1" applyFill="1" applyBorder="1" applyAlignment="1"/>
    <xf numFmtId="9" fontId="2" fillId="0" borderId="0" xfId="0" applyNumberFormat="1" applyFont="1" applyFill="1" applyBorder="1" applyAlignment="1"/>
    <xf numFmtId="167" fontId="2" fillId="0" borderId="3" xfId="0" applyNumberFormat="1" applyFont="1" applyFill="1" applyBorder="1" applyAlignment="1"/>
    <xf numFmtId="10" fontId="6" fillId="0" borderId="0" xfId="0" applyNumberFormat="1" applyFont="1" applyAlignment="1"/>
    <xf numFmtId="0" fontId="25" fillId="0" borderId="0" xfId="0" applyNumberFormat="1" applyFont="1" applyAlignment="1">
      <alignment horizontal="right"/>
    </xf>
    <xf numFmtId="10" fontId="25" fillId="0" borderId="0" xfId="0" applyNumberFormat="1" applyFont="1" applyAlignment="1"/>
    <xf numFmtId="0" fontId="0" fillId="0" borderId="0" xfId="0" applyNumberFormat="1" applyFont="1" applyAlignment="1"/>
    <xf numFmtId="172" fontId="3" fillId="0" borderId="0" xfId="0" applyNumberFormat="1" applyFont="1" applyFill="1" applyAlignment="1" applyProtection="1">
      <protection locked="0"/>
    </xf>
    <xf numFmtId="41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Alignment="1" applyProtection="1">
      <protection locked="0"/>
    </xf>
    <xf numFmtId="0" fontId="16" fillId="0" borderId="0" xfId="0" applyNumberFormat="1" applyFont="1" applyFill="1" applyAlignment="1">
      <alignment horizontal="centerContinuous"/>
    </xf>
    <xf numFmtId="0" fontId="16" fillId="0" borderId="0" xfId="0" applyNumberFormat="1" applyFont="1" applyFill="1" applyAlignment="1">
      <alignment horizontal="center"/>
    </xf>
    <xf numFmtId="0" fontId="19" fillId="0" borderId="0" xfId="0" applyNumberFormat="1" applyFont="1" applyFill="1" applyAlignment="1">
      <alignment horizontal="center"/>
    </xf>
    <xf numFmtId="6" fontId="6" fillId="0" borderId="0" xfId="0" applyNumberFormat="1" applyFont="1" applyFill="1" applyAlignment="1">
      <alignment horizontal="right" wrapText="1"/>
    </xf>
    <xf numFmtId="10" fontId="6" fillId="0" borderId="0" xfId="0" applyNumberFormat="1" applyFont="1" applyFill="1" applyAlignment="1">
      <alignment horizontal="right"/>
    </xf>
    <xf numFmtId="10" fontId="6" fillId="0" borderId="0" xfId="0" applyNumberFormat="1" applyFont="1" applyFill="1" applyAlignment="1" applyProtection="1"/>
    <xf numFmtId="10" fontId="16" fillId="0" borderId="0" xfId="0" applyNumberFormat="1" applyFont="1" applyFill="1" applyAlignment="1" applyProtection="1"/>
    <xf numFmtId="10" fontId="20" fillId="0" borderId="0" xfId="0" applyNumberFormat="1" applyFont="1" applyFill="1" applyAlignment="1">
      <alignment horizontal="right"/>
    </xf>
    <xf numFmtId="10" fontId="19" fillId="0" borderId="0" xfId="0" applyNumberFormat="1" applyFont="1" applyFill="1" applyAlignment="1" applyProtection="1"/>
    <xf numFmtId="165" fontId="6" fillId="0" borderId="0" xfId="0" applyNumberFormat="1" applyFont="1" applyFill="1" applyBorder="1" applyAlignment="1" applyProtection="1"/>
    <xf numFmtId="6" fontId="19" fillId="0" borderId="0" xfId="0" applyNumberFormat="1" applyFont="1" applyFill="1" applyAlignment="1">
      <alignment horizontal="right"/>
    </xf>
    <xf numFmtId="10" fontId="19" fillId="0" borderId="0" xfId="0" applyNumberFormat="1" applyFont="1" applyFill="1" applyAlignment="1">
      <alignment horizontal="right"/>
    </xf>
    <xf numFmtId="0" fontId="19" fillId="0" borderId="0" xfId="0" applyNumberFormat="1" applyFont="1" applyFill="1" applyAlignment="1"/>
    <xf numFmtId="10" fontId="21" fillId="0" borderId="0" xfId="0" applyNumberFormat="1" applyFont="1" applyFill="1" applyBorder="1" applyAlignment="1" applyProtection="1"/>
    <xf numFmtId="10" fontId="6" fillId="0" borderId="0" xfId="0" applyNumberFormat="1" applyFont="1" applyFill="1" applyBorder="1" applyAlignment="1"/>
    <xf numFmtId="170" fontId="3" fillId="0" borderId="2" xfId="0" applyNumberFormat="1" applyFont="1" applyFill="1" applyBorder="1" applyAlignment="1"/>
    <xf numFmtId="165" fontId="3" fillId="0" borderId="3" xfId="0" applyNumberFormat="1" applyFont="1" applyFill="1" applyBorder="1" applyAlignment="1"/>
    <xf numFmtId="42" fontId="6" fillId="0" borderId="0" xfId="0" applyNumberFormat="1" applyFont="1" applyAlignment="1"/>
    <xf numFmtId="10" fontId="27" fillId="5" borderId="12" xfId="0" applyNumberFormat="1" applyFont="1" applyFill="1" applyBorder="1" applyAlignment="1"/>
    <xf numFmtId="0" fontId="27" fillId="0" borderId="12" xfId="0" applyNumberFormat="1" applyFont="1" applyBorder="1" applyAlignment="1"/>
    <xf numFmtId="10" fontId="16" fillId="0" borderId="7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66FF"/>
      <color rgb="FFFF00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styles" Target="styles.xml"/><Relationship Id="rId30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0</xdr:rowOff>
    </xdr:from>
    <xdr:to>
      <xdr:col>2</xdr:col>
      <xdr:colOff>1790700</xdr:colOff>
      <xdr:row>61</xdr:row>
      <xdr:rowOff>73331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496300"/>
          <a:ext cx="5038725" cy="2035481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64</xdr:row>
      <xdr:rowOff>66675</xdr:rowOff>
    </xdr:from>
    <xdr:to>
      <xdr:col>2</xdr:col>
      <xdr:colOff>1936872</xdr:colOff>
      <xdr:row>75</xdr:row>
      <xdr:rowOff>142394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0991850"/>
          <a:ext cx="5137272" cy="18664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02%20E%20&amp;G%20Cost%20of%20Capital%20Dec%202019%20CBR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3.05G%20Pass-Through%20Rev%20and%20Exp%20Dec%202019%20CB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3.08E%20&amp;%203.08G%20Incentive%20Pay%20Dec%202019%20CB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3.02G%20Revenues%20and%20Expenses%20Dec%202019%20CB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3.06E%20&amp;%203.06G%20Rate%20Case%20Expenses%20Dec%202019%20CB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19%20CB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3.01G%20Temp%20Norm%20Dec%202019%20CBR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2.03%20WC-RB%20Dec%202019%20CB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.03G%20Federal%20Income%20Tax%20Dec%202019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.07G%20Bad%20Debts%20-%20Dec%202019%20CB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3.09E%20&amp;%203.09G%20Excise%20Tax%20&amp;%20Filing%20Fee%20Dec%202019%20CB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3.10E%20&amp;%203.10G%20D&amp;O%20Insurance%20Dec%202019%20CB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3.11E%20&amp;%203.11G%20Interest%20on%20Customer%20Deposits%20Dec%202019%20CB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3.12E%20&amp;%203.12G%20Pension%20Plan%20Dec%202019%20CB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3.13E%20&amp;%203.13G%20Inj%20&amp;%20Damages%20Dec%202019%20CB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4.01E%20&amp;%20401G%20Conversion%20Factor%20Dec%202019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Format"/>
      <sheetName val="Pg 2 CapStructure"/>
      <sheetName val="Pg 3 STD Cost Rate"/>
      <sheetName val="Pg 4 STD OS &amp; Comm Fees"/>
      <sheetName val="Pg 5 STD Amort"/>
      <sheetName val="Pg 6 LTD Cost "/>
      <sheetName val="Pg 7 Reacquired Debt"/>
      <sheetName val="Comparison"/>
      <sheetName val="Interest Only LTD Cost"/>
      <sheetName val="BS-Unamortized"/>
      <sheetName val="FERC Rpt"/>
      <sheetName val="Appendix --&gt;"/>
      <sheetName val="Sheet1"/>
      <sheetName val="A1  CofCap-PreMerger Costs"/>
      <sheetName val="A2  STD Cost Rate-Prior Fac"/>
      <sheetName val="A3  STD Int &amp; Fees-Prior Fac"/>
      <sheetName val="A4  STD Amort-Prior Fac"/>
      <sheetName val="FERC Presentation"/>
    </sheetNames>
    <sheetDataSet>
      <sheetData sheetId="0">
        <row r="26">
          <cell r="C26">
            <v>4400770723</v>
          </cell>
          <cell r="D26">
            <v>0.52329999999999999</v>
          </cell>
          <cell r="F26">
            <v>2.7900000000000001E-2</v>
          </cell>
        </row>
        <row r="28">
          <cell r="C28">
            <v>4009571697</v>
          </cell>
          <cell r="E28">
            <v>9.5000000000000001E-2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3.05 "/>
      <sheetName val="SOG 12ME Dec 19"/>
      <sheetName val="LIP-G 2019"/>
      <sheetName val="ZO12 Gas Exp 12ME 12-2019"/>
      <sheetName val="SC120G Cons 12ME 12-2019"/>
      <sheetName val="SC 137 Carb Offset 12ME 12-2019"/>
      <sheetName val="SOGE Mu Tx Wtr Htr 12ME 12-2019"/>
      <sheetName val="SOGE Muni Tax 12ME 12-2019"/>
      <sheetName val="ZO12 Decoup 12ME 12-2019"/>
      <sheetName val="SCH 140 Prop Tax 12ME 12-2019"/>
    </sheetNames>
    <sheetDataSet>
      <sheetData sheetId="0">
        <row r="10">
          <cell r="E10">
            <v>4843046.8499999996</v>
          </cell>
        </row>
        <row r="11">
          <cell r="E11">
            <v>16631607.470000001</v>
          </cell>
        </row>
        <row r="12">
          <cell r="E12">
            <v>21521820.140000001</v>
          </cell>
        </row>
        <row r="13">
          <cell r="E13">
            <v>-4854581.5840209294</v>
          </cell>
        </row>
        <row r="14">
          <cell r="E14">
            <v>342618.72</v>
          </cell>
        </row>
        <row r="15">
          <cell r="E15">
            <v>-159786.32</v>
          </cell>
        </row>
        <row r="16">
          <cell r="E16">
            <v>33430516.641026955</v>
          </cell>
        </row>
        <row r="17">
          <cell r="E17">
            <v>-31922766.91</v>
          </cell>
        </row>
        <row r="18">
          <cell r="E18">
            <v>41072995.880000003</v>
          </cell>
        </row>
        <row r="19">
          <cell r="E19">
            <v>294550.43</v>
          </cell>
        </row>
        <row r="23">
          <cell r="E23">
            <v>-380495.05592199031</v>
          </cell>
        </row>
        <row r="24">
          <cell r="E24">
            <v>-159704.11581195818</v>
          </cell>
        </row>
        <row r="25">
          <cell r="E25">
            <v>-3061208.4918836141</v>
          </cell>
        </row>
        <row r="29">
          <cell r="E29">
            <v>-4622872.26</v>
          </cell>
        </row>
        <row r="30">
          <cell r="E30">
            <v>-15875501.359999999</v>
          </cell>
        </row>
        <row r="31">
          <cell r="E31">
            <v>-20543393</v>
          </cell>
        </row>
        <row r="32">
          <cell r="E32">
            <v>4635635.1000000015</v>
          </cell>
        </row>
        <row r="33">
          <cell r="E33">
            <v>-238789.39</v>
          </cell>
        </row>
        <row r="34">
          <cell r="E34">
            <v>-39771898.5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 Gas"/>
      <sheetName val="4 Yr Avg"/>
      <sheetName val="Incent &amp; Related PR Tax - TY"/>
      <sheetName val="Report 2019"/>
      <sheetName val="Manual Clearing"/>
      <sheetName val="PR Taxes"/>
    </sheetNames>
    <sheetDataSet>
      <sheetData sheetId="0"/>
      <sheetData sheetId="1">
        <row r="12">
          <cell r="C12">
            <v>3549464.4616660471</v>
          </cell>
          <cell r="D12">
            <v>4208724.7228179025</v>
          </cell>
        </row>
        <row r="14">
          <cell r="C14">
            <v>314127.60485744523</v>
          </cell>
          <cell r="D14">
            <v>372472.13796938444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2G"/>
      <sheetName val="SOG 12 12-2019"/>
      <sheetName val="Rev Sharing 12ME 12-2019"/>
      <sheetName val="19CBR Gas"/>
      <sheetName val="Rentals MerCR SCH132"/>
    </sheetNames>
    <sheetDataSet>
      <sheetData sheetId="0">
        <row r="13">
          <cell r="D13">
            <v>22380.13</v>
          </cell>
        </row>
        <row r="19">
          <cell r="D19">
            <v>1965.08</v>
          </cell>
        </row>
        <row r="21">
          <cell r="D21">
            <v>-2186176.4699999997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e cost of case"/>
      <sheetName val="TY"/>
      <sheetName val="Summary GRCs"/>
      <sheetName val="Summary PCORCs"/>
    </sheetNames>
    <sheetDataSet>
      <sheetData sheetId="0"/>
      <sheetData sheetId="1">
        <row r="15">
          <cell r="D15">
            <v>1097000</v>
          </cell>
        </row>
        <row r="18">
          <cell r="D18">
            <v>584072.38114499999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==&gt;"/>
      <sheetName val="Allocators (CBR)"/>
      <sheetName val="FM"/>
      <sheetName val="GAAP"/>
      <sheetName val="TOPSIDE"/>
    </sheetNames>
    <sheetDataSet>
      <sheetData sheetId="0"/>
      <sheetData sheetId="1">
        <row r="9">
          <cell r="C9">
            <v>885869830.97000003</v>
          </cell>
        </row>
        <row r="12">
          <cell r="C12">
            <v>-10499138.549999999</v>
          </cell>
        </row>
        <row r="19">
          <cell r="C19">
            <v>290975876.38999999</v>
          </cell>
        </row>
        <row r="24">
          <cell r="C24">
            <v>6350033.2799999984</v>
          </cell>
        </row>
        <row r="25">
          <cell r="C25">
            <v>0</v>
          </cell>
        </row>
        <row r="26">
          <cell r="C26">
            <v>56478736.410000011</v>
          </cell>
        </row>
        <row r="27">
          <cell r="C27">
            <v>28956684.010000002</v>
          </cell>
        </row>
        <row r="28">
          <cell r="C28">
            <v>6358463.0099999998</v>
          </cell>
        </row>
        <row r="29">
          <cell r="C29">
            <v>15875501.359999999</v>
          </cell>
        </row>
        <row r="30">
          <cell r="C30">
            <v>58034052</v>
          </cell>
        </row>
        <row r="31">
          <cell r="C31">
            <v>125009648.60000001</v>
          </cell>
        </row>
        <row r="32">
          <cell r="C32">
            <v>37784048.030000001</v>
          </cell>
        </row>
        <row r="33">
          <cell r="C33">
            <v>0</v>
          </cell>
        </row>
        <row r="34">
          <cell r="C34">
            <v>-2515849.7700000019</v>
          </cell>
        </row>
        <row r="36">
          <cell r="C36">
            <v>99109176.200000003</v>
          </cell>
        </row>
        <row r="37">
          <cell r="C37">
            <v>33388225.969999999</v>
          </cell>
        </row>
        <row r="38">
          <cell r="C38">
            <v>-6381211.9799999967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Lead Sheet"/>
      <sheetName val="Weather Adj"/>
      <sheetName val="SystemWeatherAdj"/>
      <sheetName val="Weather Adj. For CBR"/>
    </sheetNames>
    <sheetDataSet>
      <sheetData sheetId="0">
        <row r="16">
          <cell r="C16">
            <v>24523202.026999999</v>
          </cell>
          <cell r="D16">
            <v>25213227.026999995</v>
          </cell>
        </row>
        <row r="17">
          <cell r="C17">
            <v>18893134.166500002</v>
          </cell>
          <cell r="D17">
            <v>17732306.166500002</v>
          </cell>
        </row>
        <row r="18">
          <cell r="C18">
            <v>24497773.452</v>
          </cell>
          <cell r="D18">
            <v>24703475.452</v>
          </cell>
        </row>
        <row r="19">
          <cell r="C19">
            <v>18422873.307999998</v>
          </cell>
          <cell r="D19">
            <v>18702832.307999998</v>
          </cell>
        </row>
        <row r="20">
          <cell r="C20">
            <v>20547780.009594128</v>
          </cell>
          <cell r="D20">
            <v>20978627.009594128</v>
          </cell>
        </row>
        <row r="21">
          <cell r="C21">
            <v>16903786.081961848</v>
          </cell>
          <cell r="D21">
            <v>16903786.081961848</v>
          </cell>
        </row>
        <row r="22">
          <cell r="C22">
            <v>18762138.883925341</v>
          </cell>
          <cell r="D22">
            <v>18762138.883925341</v>
          </cell>
        </row>
        <row r="23">
          <cell r="C23">
            <v>18412442.76551868</v>
          </cell>
          <cell r="D23">
            <v>18412442.765518676</v>
          </cell>
        </row>
        <row r="24">
          <cell r="C24">
            <v>17443564.802030977</v>
          </cell>
          <cell r="D24">
            <v>17443564.802030977</v>
          </cell>
        </row>
        <row r="25">
          <cell r="C25">
            <v>21203063.380725853</v>
          </cell>
          <cell r="D25">
            <v>20958344.380725853</v>
          </cell>
        </row>
        <row r="26">
          <cell r="C26">
            <v>19956066.381042603</v>
          </cell>
          <cell r="D26">
            <v>20068956.381042603</v>
          </cell>
        </row>
        <row r="27">
          <cell r="C27">
            <v>22605987.654994287</v>
          </cell>
          <cell r="D27">
            <v>22974867.654994287</v>
          </cell>
        </row>
        <row r="30">
          <cell r="E30">
            <v>-491.27946000000003</v>
          </cell>
        </row>
        <row r="31">
          <cell r="E31">
            <v>8314.9743500000004</v>
          </cell>
        </row>
        <row r="32">
          <cell r="E32">
            <v>-240.89704000000003</v>
          </cell>
        </row>
        <row r="33">
          <cell r="E33">
            <v>3999.8261699999985</v>
          </cell>
        </row>
        <row r="34">
          <cell r="E34">
            <v>3393.4141199999999</v>
          </cell>
        </row>
        <row r="38">
          <cell r="E38">
            <v>0</v>
          </cell>
        </row>
      </sheetData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 GRC WC Det Format"/>
      <sheetName val="ERB AMA"/>
      <sheetName val="GRB AMA"/>
      <sheetName val="WC "/>
      <sheetName val="Recon=&gt;"/>
      <sheetName val="BS and CWC Recon, p1"/>
      <sheetName val="BS and CWC Recon, p2"/>
      <sheetName val="EOP BS and CWC Recon, p1"/>
      <sheetName val="EOP BS and CWC Recon, p2"/>
      <sheetName val="PPXLSaveData0"/>
      <sheetName val="PPXLFunctions"/>
      <sheetName val="PPXLOpen"/>
      <sheetName val="ERB EOP"/>
      <sheetName val="GRB EOP"/>
      <sheetName val="Dec 2019 SAP"/>
      <sheetName val="E Input"/>
      <sheetName val="E Recon PWR Plt"/>
      <sheetName val="G Input"/>
      <sheetName val="G Recon PWR Plt"/>
      <sheetName val="Power Plant Info"/>
      <sheetName val="BBS=&gt;"/>
      <sheetName val="Dec 19 Manual Entry "/>
      <sheetName val="Pivot 1301"/>
      <sheetName val="1301FC Dec 19"/>
      <sheetName val="Pivot 1302"/>
      <sheetName val="1302FC Dec 19"/>
      <sheetName val="1301&amp;1302 Cap Lease"/>
      <sheetName val="3.04 &amp; 4.04 Lead"/>
      <sheetName val="Non Op 2019"/>
    </sheetNames>
    <sheetDataSet>
      <sheetData sheetId="0"/>
      <sheetData sheetId="1"/>
      <sheetData sheetId="2">
        <row r="19">
          <cell r="C19">
            <v>4422331116.180644</v>
          </cell>
        </row>
        <row r="21">
          <cell r="C21">
            <v>-1571645787.5979166</v>
          </cell>
        </row>
        <row r="22">
          <cell r="C22">
            <v>-108452902.66660394</v>
          </cell>
        </row>
        <row r="23">
          <cell r="C23">
            <v>-12055792.391249999</v>
          </cell>
        </row>
        <row r="25">
          <cell r="C25">
            <v>-602483926.72134268</v>
          </cell>
        </row>
        <row r="26">
          <cell r="C26">
            <v>1561869.0729166665</v>
          </cell>
        </row>
        <row r="27">
          <cell r="C27">
            <v>-11246338.890071666</v>
          </cell>
        </row>
        <row r="31">
          <cell r="C31">
            <v>55319652.035860486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Lead G"/>
      <sheetName val="CBR_Gas"/>
      <sheetName val="BW- Gas 410-411"/>
    </sheetNames>
    <sheetDataSet>
      <sheetData sheetId="0"/>
      <sheetData sheetId="1">
        <row r="13">
          <cell r="C13">
            <v>124778682.69528182</v>
          </cell>
        </row>
        <row r="16">
          <cell r="C16">
            <v>26203523.36600918</v>
          </cell>
        </row>
        <row r="17">
          <cell r="C17">
            <v>1183967.1427530921</v>
          </cell>
        </row>
        <row r="18">
          <cell r="C18">
            <v>0</v>
          </cell>
        </row>
        <row r="19">
          <cell r="C19">
            <v>0</v>
          </cell>
        </row>
        <row r="23">
          <cell r="C23">
            <v>33388225.969999999</v>
          </cell>
        </row>
        <row r="24">
          <cell r="C24">
            <v>42754186.710000001</v>
          </cell>
        </row>
        <row r="25">
          <cell r="C25">
            <v>-49135398.689999998</v>
          </cell>
        </row>
        <row r="26">
          <cell r="C26">
            <v>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"/>
      <sheetName val="3-YR AVERAGE-GAS"/>
      <sheetName val="NetWriteoffs-Gas"/>
      <sheetName val="BS Acct-Gas"/>
      <sheetName val="ZO12"/>
      <sheetName val="SOG 12ME 8-2019"/>
      <sheetName val="Allocation Factors"/>
    </sheetNames>
    <sheetDataSet>
      <sheetData sheetId="0">
        <row r="14">
          <cell r="C14">
            <v>4066020.6499999994</v>
          </cell>
          <cell r="D14">
            <v>975271378.21000004</v>
          </cell>
          <cell r="E14">
            <v>13046355.58</v>
          </cell>
          <cell r="F14">
            <v>962225022.63</v>
          </cell>
        </row>
        <row r="15">
          <cell r="C15">
            <v>4457528.6000000006</v>
          </cell>
          <cell r="D15">
            <v>896161552.14999998</v>
          </cell>
          <cell r="E15">
            <v>14277246.51</v>
          </cell>
          <cell r="F15">
            <v>881884305.63999999</v>
          </cell>
        </row>
        <row r="16">
          <cell r="C16">
            <v>4875798.22</v>
          </cell>
          <cell r="D16">
            <v>985378965.08999991</v>
          </cell>
          <cell r="E16">
            <v>12751981.48</v>
          </cell>
          <cell r="F16">
            <v>972626983.6099999</v>
          </cell>
        </row>
        <row r="20">
          <cell r="D20">
            <v>875370692.42000008</v>
          </cell>
          <cell r="E20">
            <v>-10499138.549999999</v>
          </cell>
          <cell r="F20">
            <v>885869830.97000003</v>
          </cell>
        </row>
        <row r="27">
          <cell r="F27">
            <v>3297597.32125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Lead E"/>
      <sheetName val="Lead G"/>
      <sheetName val="Excise Tax "/>
      <sheetName val="Filing Fees"/>
      <sheetName val="E Filing Fee Restated"/>
      <sheetName val="G Filing Fee Restated"/>
      <sheetName val="Other Elec Revenue"/>
    </sheetNames>
    <sheetDataSet>
      <sheetData sheetId="0"/>
      <sheetData sheetId="1"/>
      <sheetData sheetId="2">
        <row r="12">
          <cell r="C12">
            <v>34852244.711249992</v>
          </cell>
          <cell r="D12">
            <v>34996690.660504989</v>
          </cell>
        </row>
        <row r="13">
          <cell r="C13">
            <v>1753018.78</v>
          </cell>
          <cell r="D13">
            <v>1771689.66194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"/>
      <sheetName val=" Gas"/>
      <sheetName val="Main wp"/>
      <sheetName val="CE Allocation"/>
      <sheetName val="Director's Fees"/>
    </sheetNames>
    <sheetDataSet>
      <sheetData sheetId="0"/>
      <sheetData sheetId="1">
        <row r="12">
          <cell r="C12">
            <v>57439.766287808692</v>
          </cell>
          <cell r="D12">
            <v>48657.199215171058</v>
          </cell>
        </row>
        <row r="13">
          <cell r="C13"/>
          <cell r="D13"/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1E"/>
      <sheetName val="3.11G"/>
      <sheetName val="SAPBW70_DOWNLOAD"/>
      <sheetName val="E&amp;G Split"/>
      <sheetName val="2019 PO "/>
      <sheetName val="Jan.19"/>
      <sheetName val="Feb.19"/>
      <sheetName val="Mar.19"/>
      <sheetName val="Apr.19"/>
      <sheetName val="May.19"/>
      <sheetName val="Jun.19"/>
      <sheetName val="Jul.19"/>
      <sheetName val="Aug.19"/>
      <sheetName val="Sep.19"/>
      <sheetName val="Oct.19"/>
      <sheetName val="Nov.19"/>
      <sheetName val="Dec.19"/>
    </sheetNames>
    <sheetDataSet>
      <sheetData sheetId="0"/>
      <sheetData sheetId="1">
        <row r="12">
          <cell r="D12">
            <v>169052.95471925227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SUPPORT&gt;&gt;&gt;&gt;"/>
      <sheetName val="SAP Export"/>
      <sheetName val="GA Qual Consolidated 12-2019"/>
    </sheetNames>
    <sheetDataSet>
      <sheetData sheetId="0"/>
      <sheetData sheetId="1">
        <row r="14">
          <cell r="C14">
            <v>1848302.2847516856</v>
          </cell>
          <cell r="D14">
            <v>2856985.8270812258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19"/>
      <sheetName val="ZO12 Inj &amp; Dam 12ME 12-2018"/>
      <sheetName val="ZO12 Inj &amp; Dam 12ME 12-2017"/>
    </sheetNames>
    <sheetDataSet>
      <sheetData sheetId="0"/>
      <sheetData sheetId="1">
        <row r="13">
          <cell r="C13">
            <v>-121750</v>
          </cell>
          <cell r="D13">
            <v>157450.82666666666</v>
          </cell>
        </row>
        <row r="14">
          <cell r="C14">
            <v>934148.70096439891</v>
          </cell>
          <cell r="D14">
            <v>1162586.6454453932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/>
      <sheetData sheetId="1">
        <row r="13">
          <cell r="E13">
            <v>4.7650000000000001E-3</v>
          </cell>
        </row>
        <row r="14">
          <cell r="E14">
            <v>2E-3</v>
          </cell>
        </row>
        <row r="15">
          <cell r="E15">
            <v>3.8336000000000002E-2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.bin"/><Relationship Id="rId13" Type="http://schemas.openxmlformats.org/officeDocument/2006/relationships/printerSettings" Target="../printerSettings/printerSettings15.bin"/><Relationship Id="rId1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5.bin"/><Relationship Id="rId21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9.bin"/><Relationship Id="rId12" Type="http://schemas.openxmlformats.org/officeDocument/2006/relationships/printerSettings" Target="../printerSettings/printerSettings14.bin"/><Relationship Id="rId17" Type="http://schemas.openxmlformats.org/officeDocument/2006/relationships/printerSettings" Target="../printerSettings/printerSettings19.bin"/><Relationship Id="rId25" Type="http://schemas.openxmlformats.org/officeDocument/2006/relationships/customProperty" Target="../customProperty6.bin"/><Relationship Id="rId2" Type="http://schemas.openxmlformats.org/officeDocument/2006/relationships/printerSettings" Target="../printerSettings/printerSettings4.bin"/><Relationship Id="rId16" Type="http://schemas.openxmlformats.org/officeDocument/2006/relationships/printerSettings" Target="../printerSettings/printerSettings18.bin"/><Relationship Id="rId20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3.bin"/><Relationship Id="rId6" Type="http://schemas.openxmlformats.org/officeDocument/2006/relationships/printerSettings" Target="../printerSettings/printerSettings8.bin"/><Relationship Id="rId11" Type="http://schemas.openxmlformats.org/officeDocument/2006/relationships/printerSettings" Target="../printerSettings/printerSettings13.bin"/><Relationship Id="rId24" Type="http://schemas.openxmlformats.org/officeDocument/2006/relationships/customProperty" Target="../customProperty5.bin"/><Relationship Id="rId5" Type="http://schemas.openxmlformats.org/officeDocument/2006/relationships/printerSettings" Target="../printerSettings/printerSettings7.bin"/><Relationship Id="rId15" Type="http://schemas.openxmlformats.org/officeDocument/2006/relationships/printerSettings" Target="../printerSettings/printerSettings17.bin"/><Relationship Id="rId23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12.bin"/><Relationship Id="rId19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6.bin"/><Relationship Id="rId9" Type="http://schemas.openxmlformats.org/officeDocument/2006/relationships/printerSettings" Target="../printerSettings/printerSettings11.bin"/><Relationship Id="rId14" Type="http://schemas.openxmlformats.org/officeDocument/2006/relationships/printerSettings" Target="../printerSettings/printerSettings16.bin"/><Relationship Id="rId22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6.bin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customProperty" Target="../customProperty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customProperty" Target="../customProperty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customProperty" Target="../customProperty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customProperty" Target="../customProperty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customProperty" Target="../customProperty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4"/>
  <sheetViews>
    <sheetView tabSelected="1" workbookViewId="0">
      <selection activeCell="G36" sqref="G36"/>
    </sheetView>
  </sheetViews>
  <sheetFormatPr defaultColWidth="10.7109375" defaultRowHeight="13.2" x14ac:dyDescent="0.25"/>
  <cols>
    <col min="1" max="1" width="42.85546875" style="174" bestFit="1" customWidth="1"/>
    <col min="2" max="2" width="6.7109375" style="174" customWidth="1"/>
    <col min="3" max="3" width="19.7109375" style="174" customWidth="1"/>
    <col min="4" max="4" width="15.42578125" style="174" bestFit="1" customWidth="1"/>
    <col min="5" max="5" width="19.85546875" style="174" customWidth="1"/>
    <col min="6" max="6" width="6.7109375" style="174" bestFit="1" customWidth="1"/>
    <col min="7" max="7" width="10.7109375" style="174"/>
    <col min="8" max="8" width="19.42578125" style="174" bestFit="1" customWidth="1"/>
    <col min="9" max="9" width="10.7109375" style="174"/>
    <col min="10" max="10" width="16.140625" style="174" bestFit="1" customWidth="1"/>
    <col min="11" max="16384" width="10.7109375" style="174"/>
  </cols>
  <sheetData>
    <row r="1" spans="1:8" ht="13.8" thickBot="1" x14ac:dyDescent="0.3">
      <c r="A1" s="173" t="s">
        <v>249</v>
      </c>
      <c r="D1" s="482"/>
      <c r="E1" s="481">
        <v>1.01</v>
      </c>
    </row>
    <row r="2" spans="1:8" x14ac:dyDescent="0.25">
      <c r="A2" s="484" t="str">
        <f>TESTYEAR</f>
        <v>FOR THE TWELVE MONTHS ENDED DECEMBER 31, 2019</v>
      </c>
    </row>
    <row r="3" spans="1:8" x14ac:dyDescent="0.25">
      <c r="A3" s="284"/>
    </row>
    <row r="4" spans="1:8" x14ac:dyDescent="0.25">
      <c r="C4" s="422" t="s">
        <v>250</v>
      </c>
      <c r="D4" s="422" t="s">
        <v>251</v>
      </c>
      <c r="E4" s="422" t="s">
        <v>248</v>
      </c>
    </row>
    <row r="5" spans="1:8" x14ac:dyDescent="0.25">
      <c r="B5" s="176"/>
      <c r="C5" s="175" t="s">
        <v>252</v>
      </c>
      <c r="D5" s="175" t="s">
        <v>253</v>
      </c>
      <c r="E5" s="175" t="s">
        <v>253</v>
      </c>
      <c r="F5" s="176"/>
    </row>
    <row r="7" spans="1:8" x14ac:dyDescent="0.25">
      <c r="A7" s="174" t="s">
        <v>130</v>
      </c>
      <c r="B7" s="174" t="s">
        <v>119</v>
      </c>
      <c r="C7" s="177">
        <f>+model!CO44</f>
        <v>132989920.16441631</v>
      </c>
      <c r="D7" s="177">
        <f>-'Earnings Sharing-CBR to Adj CBR'!I18</f>
        <v>0</v>
      </c>
      <c r="E7" s="177">
        <f>SUM(C7:D7)</f>
        <v>132989920.16441631</v>
      </c>
    </row>
    <row r="8" spans="1:8" x14ac:dyDescent="0.25">
      <c r="A8" s="174" t="s">
        <v>131</v>
      </c>
      <c r="B8" s="174" t="s">
        <v>120</v>
      </c>
      <c r="C8" s="177">
        <f>+model!CO46</f>
        <v>2173327889.0222359</v>
      </c>
      <c r="D8" s="177">
        <v>0</v>
      </c>
      <c r="E8" s="177">
        <f>C8+D8</f>
        <v>2173327889.0222359</v>
      </c>
    </row>
    <row r="9" spans="1:8" x14ac:dyDescent="0.25">
      <c r="B9" s="178"/>
      <c r="C9" s="177"/>
      <c r="D9" s="177"/>
      <c r="E9" s="177"/>
    </row>
    <row r="10" spans="1:8" x14ac:dyDescent="0.25">
      <c r="A10" s="173" t="s">
        <v>134</v>
      </c>
      <c r="B10" s="180" t="s">
        <v>121</v>
      </c>
      <c r="C10" s="179">
        <f>+C7/C8</f>
        <v>6.1191834345919842E-2</v>
      </c>
      <c r="D10" s="179">
        <f>E10-C10</f>
        <v>8.165654080155571E-6</v>
      </c>
      <c r="E10" s="179">
        <f>ROUND(+E7/E8,4)</f>
        <v>6.1199999999999997E-2</v>
      </c>
      <c r="H10" s="179"/>
    </row>
    <row r="11" spans="1:8" x14ac:dyDescent="0.25">
      <c r="B11" s="181"/>
      <c r="C11" s="469"/>
      <c r="D11" s="470"/>
      <c r="E11" s="470"/>
      <c r="H11" s="421"/>
    </row>
    <row r="12" spans="1:8" x14ac:dyDescent="0.25">
      <c r="C12" s="471"/>
      <c r="D12" s="471"/>
      <c r="E12" s="471"/>
      <c r="H12" s="177"/>
    </row>
    <row r="13" spans="1:8" x14ac:dyDescent="0.25">
      <c r="C13" s="471"/>
      <c r="D13" s="471"/>
      <c r="E13" s="471"/>
      <c r="H13" s="177"/>
    </row>
    <row r="14" spans="1:8" x14ac:dyDescent="0.25">
      <c r="C14" s="471"/>
      <c r="D14" s="471"/>
      <c r="E14" s="471"/>
      <c r="H14" s="177"/>
    </row>
    <row r="15" spans="1:8" x14ac:dyDescent="0.25">
      <c r="A15" s="174" t="s">
        <v>130</v>
      </c>
      <c r="B15" s="174" t="s">
        <v>122</v>
      </c>
      <c r="C15" s="472">
        <f>+C7</f>
        <v>132989920.16441631</v>
      </c>
      <c r="D15" s="472">
        <f>+D7</f>
        <v>0</v>
      </c>
      <c r="E15" s="472">
        <f>+E7</f>
        <v>132989920.16441631</v>
      </c>
    </row>
    <row r="16" spans="1:8" x14ac:dyDescent="0.25">
      <c r="A16" s="174" t="s">
        <v>179</v>
      </c>
      <c r="B16" s="174" t="s">
        <v>123</v>
      </c>
      <c r="C16" s="177">
        <f>+model!R17</f>
        <v>60635848.103720382</v>
      </c>
      <c r="D16" s="177"/>
      <c r="E16" s="177">
        <f>C16+D16</f>
        <v>60635848.103720382</v>
      </c>
    </row>
    <row r="17" spans="1:10" x14ac:dyDescent="0.25">
      <c r="A17" s="174" t="s">
        <v>180</v>
      </c>
      <c r="B17" s="174" t="s">
        <v>124</v>
      </c>
      <c r="C17" s="472">
        <f>+C15-C16</f>
        <v>72354072.060695931</v>
      </c>
      <c r="D17" s="472">
        <f>+D15-D16</f>
        <v>0</v>
      </c>
      <c r="E17" s="472">
        <f>+E15-E16</f>
        <v>72354072.060695931</v>
      </c>
      <c r="H17"/>
      <c r="I17"/>
      <c r="J17"/>
    </row>
    <row r="18" spans="1:10" x14ac:dyDescent="0.25">
      <c r="C18" s="471"/>
      <c r="D18" s="471"/>
      <c r="E18" s="471"/>
      <c r="H18"/>
      <c r="I18"/>
      <c r="J18"/>
    </row>
    <row r="19" spans="1:10" x14ac:dyDescent="0.25">
      <c r="A19" s="174" t="s">
        <v>131</v>
      </c>
      <c r="B19" s="174" t="s">
        <v>125</v>
      </c>
      <c r="C19" s="472">
        <f>+C8</f>
        <v>2173327889.0222359</v>
      </c>
      <c r="D19" s="472">
        <f>+D8</f>
        <v>0</v>
      </c>
      <c r="E19" s="472">
        <f>+E8</f>
        <v>2173327889.0222359</v>
      </c>
      <c r="H19"/>
      <c r="I19"/>
      <c r="J19"/>
    </row>
    <row r="20" spans="1:10" x14ac:dyDescent="0.25">
      <c r="A20" s="174" t="s">
        <v>132</v>
      </c>
      <c r="B20" s="174" t="s">
        <v>126</v>
      </c>
      <c r="C20" s="473">
        <f>'1.02 COC'!D19</f>
        <v>0.47670000000000001</v>
      </c>
      <c r="D20" s="473"/>
      <c r="E20" s="473">
        <f>C20+D20</f>
        <v>0.47670000000000001</v>
      </c>
      <c r="H20"/>
      <c r="I20"/>
      <c r="J20"/>
    </row>
    <row r="21" spans="1:10" x14ac:dyDescent="0.25">
      <c r="A21" s="174" t="s">
        <v>127</v>
      </c>
      <c r="B21" s="174" t="s">
        <v>128</v>
      </c>
      <c r="C21" s="177">
        <f>+C19*C20</f>
        <v>1036025404.6968999</v>
      </c>
      <c r="D21" s="177">
        <f>+D19*D20</f>
        <v>0</v>
      </c>
      <c r="E21" s="177">
        <f>+E19*E20</f>
        <v>1036025404.6968999</v>
      </c>
      <c r="H21"/>
      <c r="I21"/>
      <c r="J21"/>
    </row>
    <row r="22" spans="1:10" x14ac:dyDescent="0.25">
      <c r="C22" s="177"/>
      <c r="D22" s="177"/>
      <c r="E22" s="177"/>
      <c r="H22"/>
      <c r="I22"/>
      <c r="J22"/>
    </row>
    <row r="23" spans="1:10" x14ac:dyDescent="0.25">
      <c r="A23" s="173" t="s">
        <v>133</v>
      </c>
      <c r="B23" s="174" t="s">
        <v>129</v>
      </c>
      <c r="C23" s="179">
        <f>+C17/C21</f>
        <v>6.983812533232607E-2</v>
      </c>
      <c r="D23" s="179">
        <f>E23-C23</f>
        <v>-3.8125332326069405E-5</v>
      </c>
      <c r="E23" s="179">
        <f>+ROUND(E17/E21,4)</f>
        <v>6.9800000000000001E-2</v>
      </c>
      <c r="H23"/>
      <c r="I23"/>
      <c r="J23"/>
    </row>
    <row r="24" spans="1:10" x14ac:dyDescent="0.25">
      <c r="C24" s="471"/>
      <c r="D24" s="471"/>
      <c r="E24" s="471"/>
      <c r="H24"/>
      <c r="I24"/>
      <c r="J24"/>
    </row>
  </sheetData>
  <phoneticPr fontId="8" type="noConversion"/>
  <printOptions horizontalCentered="1"/>
  <pageMargins left="0.75" right="0.75" top="1" bottom="1" header="0.5" footer="0.5"/>
  <pageSetup orientation="portrait" r:id="rId1"/>
  <headerFooter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50"/>
  <sheetViews>
    <sheetView workbookViewId="0">
      <selection activeCell="E32" sqref="E32"/>
    </sheetView>
  </sheetViews>
  <sheetFormatPr defaultColWidth="10.7109375" defaultRowHeight="13.2" x14ac:dyDescent="0.25"/>
  <cols>
    <col min="1" max="1" width="3.85546875" style="203" bestFit="1" customWidth="1"/>
    <col min="2" max="2" width="31.42578125" style="203" bestFit="1" customWidth="1"/>
    <col min="3" max="3" width="19.42578125" style="203" customWidth="1"/>
    <col min="4" max="4" width="12.7109375" style="203" customWidth="1"/>
    <col min="5" max="5" width="12" style="203" customWidth="1"/>
    <col min="6" max="6" width="14.140625" style="203" customWidth="1"/>
    <col min="7" max="7" width="4" style="203" bestFit="1" customWidth="1"/>
    <col min="8" max="8" width="14.28515625" style="203" bestFit="1" customWidth="1"/>
    <col min="9" max="9" width="12.28515625" style="203" bestFit="1" customWidth="1"/>
    <col min="10" max="10" width="18.7109375" style="203" bestFit="1" customWidth="1"/>
    <col min="11" max="13" width="10.85546875" style="203" bestFit="1" customWidth="1"/>
    <col min="14" max="16384" width="10.7109375" style="203"/>
  </cols>
  <sheetData>
    <row r="1" spans="1:8" ht="13.8" thickBot="1" x14ac:dyDescent="0.3">
      <c r="F1" s="481">
        <v>1.02</v>
      </c>
    </row>
    <row r="2" spans="1:8" x14ac:dyDescent="0.25">
      <c r="B2" s="284"/>
    </row>
    <row r="3" spans="1:8" ht="12.75" customHeight="1" x14ac:dyDescent="0.25">
      <c r="A3" s="204" t="s">
        <v>187</v>
      </c>
      <c r="B3" s="204"/>
      <c r="C3" s="204"/>
      <c r="D3" s="204"/>
      <c r="E3" s="204"/>
      <c r="F3" s="205"/>
      <c r="G3" s="205"/>
    </row>
    <row r="4" spans="1:8" ht="12.75" customHeight="1" x14ac:dyDescent="0.25">
      <c r="A4" s="204"/>
      <c r="B4" s="204"/>
      <c r="C4" s="204"/>
      <c r="D4" s="204"/>
      <c r="E4" s="204"/>
      <c r="F4" s="205"/>
      <c r="G4" s="205"/>
    </row>
    <row r="5" spans="1:8" ht="12.75" customHeight="1" x14ac:dyDescent="0.25">
      <c r="A5" s="522" t="s">
        <v>188</v>
      </c>
      <c r="B5" s="522"/>
      <c r="C5" s="522"/>
      <c r="D5" s="522"/>
      <c r="E5" s="522"/>
      <c r="F5" s="406"/>
      <c r="G5" s="406"/>
    </row>
    <row r="6" spans="1:8" ht="12.75" customHeight="1" x14ac:dyDescent="0.25">
      <c r="A6" s="522" t="s">
        <v>189</v>
      </c>
      <c r="B6" s="522"/>
      <c r="C6" s="522"/>
      <c r="D6" s="522"/>
      <c r="E6" s="522"/>
      <c r="F6" s="406"/>
      <c r="G6" s="406"/>
      <c r="H6" s="485"/>
    </row>
    <row r="7" spans="1:8" s="407" customFormat="1" ht="12.75" customHeight="1" x14ac:dyDescent="0.25">
      <c r="A7" s="522" t="str">
        <f>TESTYEAR</f>
        <v>FOR THE TWELVE MONTHS ENDED DECEMBER 31, 2019</v>
      </c>
      <c r="B7" s="522"/>
      <c r="C7" s="522"/>
      <c r="D7" s="522"/>
      <c r="E7" s="522"/>
      <c r="F7" s="406"/>
      <c r="G7" s="406"/>
    </row>
    <row r="8" spans="1:8" x14ac:dyDescent="0.25">
      <c r="A8" s="285"/>
      <c r="B8" s="285"/>
      <c r="C8" s="285"/>
      <c r="D8" s="285"/>
      <c r="E8" s="285"/>
      <c r="F8" s="285"/>
      <c r="G8" s="407"/>
    </row>
    <row r="9" spans="1:8" x14ac:dyDescent="0.25">
      <c r="A9" s="285"/>
      <c r="B9" s="285"/>
      <c r="C9" s="285"/>
      <c r="D9" s="285"/>
      <c r="E9" s="285"/>
      <c r="F9" s="285"/>
      <c r="G9" s="407"/>
    </row>
    <row r="10" spans="1:8" x14ac:dyDescent="0.25">
      <c r="A10" s="285"/>
      <c r="B10" s="285"/>
      <c r="C10" s="285"/>
      <c r="D10" s="285"/>
      <c r="E10" s="285"/>
      <c r="F10" s="285"/>
      <c r="G10" s="407"/>
    </row>
    <row r="11" spans="1:8" x14ac:dyDescent="0.25">
      <c r="A11" s="471">
        <v>1</v>
      </c>
      <c r="B11" s="523" t="s">
        <v>190</v>
      </c>
      <c r="C11" s="523" t="s">
        <v>191</v>
      </c>
      <c r="D11" s="523" t="s">
        <v>192</v>
      </c>
      <c r="E11" s="523" t="s">
        <v>193</v>
      </c>
      <c r="F11" s="523" t="s">
        <v>194</v>
      </c>
      <c r="G11" s="407"/>
    </row>
    <row r="12" spans="1:8" x14ac:dyDescent="0.25">
      <c r="A12" s="471">
        <v>2</v>
      </c>
      <c r="B12" s="471"/>
      <c r="C12" s="471"/>
      <c r="D12" s="471"/>
      <c r="E12" s="471"/>
      <c r="F12" s="471"/>
      <c r="G12" s="471"/>
      <c r="H12" s="206"/>
    </row>
    <row r="13" spans="1:8" x14ac:dyDescent="0.25">
      <c r="A13" s="471">
        <v>3</v>
      </c>
      <c r="B13" s="471" t="s">
        <v>20</v>
      </c>
      <c r="C13" s="471"/>
      <c r="D13" s="471"/>
      <c r="E13" s="471"/>
      <c r="F13" s="523" t="s">
        <v>195</v>
      </c>
      <c r="G13" s="471"/>
      <c r="H13" s="206"/>
    </row>
    <row r="14" spans="1:8" x14ac:dyDescent="0.25">
      <c r="A14" s="471">
        <v>4</v>
      </c>
      <c r="B14" s="471"/>
      <c r="C14" s="471"/>
      <c r="D14" s="471"/>
      <c r="E14" s="471"/>
      <c r="F14" s="523" t="s">
        <v>196</v>
      </c>
      <c r="G14" s="471"/>
      <c r="H14" s="206"/>
    </row>
    <row r="15" spans="1:8" x14ac:dyDescent="0.25">
      <c r="A15" s="471">
        <v>5</v>
      </c>
      <c r="B15" s="524" t="s">
        <v>197</v>
      </c>
      <c r="C15" s="524" t="s">
        <v>198</v>
      </c>
      <c r="D15" s="524" t="s">
        <v>199</v>
      </c>
      <c r="E15" s="524" t="s">
        <v>200</v>
      </c>
      <c r="F15" s="524" t="s">
        <v>201</v>
      </c>
      <c r="G15" s="471"/>
      <c r="H15" s="206"/>
    </row>
    <row r="16" spans="1:8" x14ac:dyDescent="0.25">
      <c r="A16" s="471">
        <v>6</v>
      </c>
      <c r="B16" s="471"/>
      <c r="C16" s="471"/>
      <c r="D16" s="471"/>
      <c r="E16" s="471"/>
      <c r="F16" s="471"/>
      <c r="G16" s="471"/>
      <c r="H16" s="206"/>
    </row>
    <row r="17" spans="1:14" x14ac:dyDescent="0.25">
      <c r="A17" s="471">
        <v>7</v>
      </c>
      <c r="B17" s="179" t="s">
        <v>292</v>
      </c>
      <c r="C17" s="525">
        <f>'[1]New Format'!$C$26</f>
        <v>4400770723</v>
      </c>
      <c r="D17" s="526">
        <f>'[1]New Format'!$D$26</f>
        <v>0.52329999999999999</v>
      </c>
      <c r="E17" s="527">
        <f>F17/D17</f>
        <v>5.3315497802407803E-2</v>
      </c>
      <c r="F17" s="528">
        <f>'[1]New Format'!$F$26</f>
        <v>2.7900000000000001E-2</v>
      </c>
      <c r="G17" s="474"/>
      <c r="H17" s="206"/>
      <c r="J17"/>
      <c r="K17"/>
      <c r="L17"/>
      <c r="M17"/>
      <c r="N17"/>
    </row>
    <row r="18" spans="1:14" x14ac:dyDescent="0.25">
      <c r="A18" s="471">
        <v>8</v>
      </c>
      <c r="B18" s="471"/>
      <c r="C18" s="471"/>
      <c r="D18" s="471"/>
      <c r="E18" s="471"/>
      <c r="F18" s="179"/>
      <c r="G18" s="471"/>
      <c r="H18" s="206"/>
      <c r="J18"/>
      <c r="K18"/>
      <c r="L18"/>
      <c r="M18"/>
      <c r="N18"/>
    </row>
    <row r="19" spans="1:14" x14ac:dyDescent="0.25">
      <c r="A19" s="471">
        <v>9</v>
      </c>
      <c r="B19" s="285" t="s">
        <v>202</v>
      </c>
      <c r="C19" s="525">
        <f>'[1]New Format'!$C$28</f>
        <v>4009571697</v>
      </c>
      <c r="D19" s="529">
        <f>ROUND(C19/$C$21,4)</f>
        <v>0.47670000000000001</v>
      </c>
      <c r="E19" s="527">
        <f>'[1]New Format'!$E$28</f>
        <v>9.5000000000000001E-2</v>
      </c>
      <c r="F19" s="530">
        <f>ROUND(D19*E19,4)</f>
        <v>4.53E-2</v>
      </c>
      <c r="G19" s="471"/>
      <c r="H19" s="206"/>
      <c r="J19"/>
      <c r="K19"/>
      <c r="L19"/>
      <c r="M19"/>
      <c r="N19"/>
    </row>
    <row r="20" spans="1:14" x14ac:dyDescent="0.25">
      <c r="A20" s="471">
        <v>10</v>
      </c>
      <c r="B20" s="471"/>
      <c r="C20" s="471"/>
      <c r="D20" s="471"/>
      <c r="E20" s="471"/>
      <c r="F20" s="531"/>
      <c r="G20" s="471"/>
      <c r="H20" s="206"/>
      <c r="J20"/>
      <c r="K20"/>
      <c r="L20"/>
      <c r="M20"/>
      <c r="N20"/>
    </row>
    <row r="21" spans="1:14" x14ac:dyDescent="0.25">
      <c r="A21" s="471">
        <v>11</v>
      </c>
      <c r="B21" s="285" t="s">
        <v>203</v>
      </c>
      <c r="C21" s="532">
        <f>SUM(C17:C20)</f>
        <v>8410342420</v>
      </c>
      <c r="D21" s="533">
        <f>SUM(D17:D20)</f>
        <v>1</v>
      </c>
      <c r="E21" s="534"/>
      <c r="F21" s="535">
        <f>F17+F19</f>
        <v>7.3200000000000001E-2</v>
      </c>
      <c r="G21" s="471"/>
      <c r="H21" s="206"/>
      <c r="J21"/>
      <c r="K21"/>
      <c r="L21"/>
      <c r="M21"/>
      <c r="N21"/>
    </row>
    <row r="22" spans="1:14" x14ac:dyDescent="0.25">
      <c r="A22" s="471">
        <v>12</v>
      </c>
      <c r="B22" s="471"/>
      <c r="C22" s="471"/>
      <c r="D22" s="529"/>
      <c r="E22" s="471"/>
      <c r="F22" s="536"/>
      <c r="G22" s="471"/>
      <c r="H22" s="206"/>
      <c r="J22"/>
      <c r="K22"/>
      <c r="L22"/>
      <c r="M22"/>
      <c r="N22"/>
    </row>
    <row r="23" spans="1:14" x14ac:dyDescent="0.25">
      <c r="A23" s="471">
        <v>13</v>
      </c>
      <c r="B23" s="471"/>
      <c r="C23" s="471"/>
      <c r="D23" s="471"/>
      <c r="E23" s="471"/>
      <c r="F23" s="475"/>
      <c r="G23" s="471"/>
      <c r="H23" s="206"/>
      <c r="J23"/>
      <c r="K23"/>
      <c r="L23"/>
      <c r="M23"/>
      <c r="N23"/>
    </row>
    <row r="24" spans="1:14" x14ac:dyDescent="0.25">
      <c r="A24" s="471">
        <v>14</v>
      </c>
      <c r="B24" s="285" t="s">
        <v>204</v>
      </c>
      <c r="C24" s="285"/>
      <c r="D24" s="471"/>
      <c r="E24" s="471"/>
      <c r="F24" s="475"/>
      <c r="G24" s="471"/>
      <c r="H24" s="206"/>
      <c r="J24"/>
      <c r="K24"/>
      <c r="L24"/>
      <c r="M24"/>
      <c r="N24"/>
    </row>
    <row r="25" spans="1:14" x14ac:dyDescent="0.25">
      <c r="A25" s="407"/>
      <c r="B25" s="471"/>
      <c r="C25" s="471"/>
      <c r="D25" s="471"/>
      <c r="E25" s="471"/>
      <c r="F25" s="475"/>
      <c r="G25" s="471"/>
      <c r="H25" s="206"/>
      <c r="J25"/>
      <c r="K25"/>
      <c r="L25"/>
      <c r="M25"/>
      <c r="N25"/>
    </row>
    <row r="26" spans="1:14" x14ac:dyDescent="0.25">
      <c r="A26" s="407"/>
      <c r="B26" s="471"/>
      <c r="C26" s="471"/>
      <c r="D26" s="471"/>
      <c r="E26" s="471"/>
      <c r="F26" s="475"/>
      <c r="G26" s="471"/>
      <c r="H26" s="206"/>
      <c r="J26"/>
      <c r="K26"/>
      <c r="L26"/>
      <c r="M26"/>
      <c r="N26"/>
    </row>
    <row r="27" spans="1:14" x14ac:dyDescent="0.25">
      <c r="A27" s="407"/>
      <c r="B27" s="471"/>
      <c r="C27" s="476"/>
      <c r="D27" s="471"/>
      <c r="E27" s="471"/>
      <c r="F27" s="471"/>
      <c r="G27" s="471"/>
      <c r="H27" s="206"/>
      <c r="J27"/>
      <c r="K27"/>
      <c r="L27"/>
      <c r="M27"/>
      <c r="N27"/>
    </row>
    <row r="28" spans="1:14" x14ac:dyDescent="0.25">
      <c r="A28" s="407"/>
      <c r="B28" s="471"/>
      <c r="C28" s="476"/>
      <c r="D28" s="471"/>
      <c r="E28" s="471"/>
      <c r="F28" s="471"/>
      <c r="G28" s="471"/>
      <c r="H28" s="206"/>
    </row>
    <row r="29" spans="1:14" x14ac:dyDescent="0.25">
      <c r="A29" s="407"/>
      <c r="B29" s="471"/>
      <c r="C29" s="476"/>
      <c r="D29" s="471"/>
      <c r="E29" s="471"/>
      <c r="F29" s="471"/>
      <c r="G29" s="471"/>
      <c r="H29" s="206"/>
    </row>
    <row r="30" spans="1:14" x14ac:dyDescent="0.25">
      <c r="A30" s="407"/>
      <c r="B30" s="471"/>
      <c r="C30" s="476"/>
      <c r="D30" s="471"/>
      <c r="E30" s="471"/>
      <c r="F30" s="471"/>
      <c r="G30" s="471"/>
    </row>
    <row r="31" spans="1:14" x14ac:dyDescent="0.25">
      <c r="A31" s="407"/>
      <c r="B31" s="471"/>
      <c r="C31" s="476"/>
      <c r="D31" s="471"/>
      <c r="E31" s="471"/>
      <c r="F31" s="471"/>
      <c r="G31" s="471"/>
    </row>
    <row r="32" spans="1:14" x14ac:dyDescent="0.25">
      <c r="A32" s="407"/>
      <c r="B32" s="471"/>
      <c r="C32" s="476"/>
      <c r="D32" s="471"/>
      <c r="E32" s="471"/>
      <c r="F32" s="471"/>
      <c r="G32" s="471"/>
    </row>
    <row r="33" spans="1:7" x14ac:dyDescent="0.25">
      <c r="A33" s="407"/>
      <c r="B33" s="471"/>
      <c r="C33" s="476"/>
      <c r="D33" s="471"/>
      <c r="E33" s="471"/>
      <c r="F33" s="471"/>
      <c r="G33" s="471"/>
    </row>
    <row r="34" spans="1:7" x14ac:dyDescent="0.25">
      <c r="A34" s="407"/>
      <c r="B34" s="471"/>
      <c r="C34" s="476"/>
      <c r="D34" s="471"/>
      <c r="E34" s="471"/>
      <c r="F34" s="471"/>
      <c r="G34" s="471"/>
    </row>
    <row r="35" spans="1:7" x14ac:dyDescent="0.25">
      <c r="B35" s="206"/>
      <c r="C35" s="281"/>
      <c r="D35" s="206"/>
      <c r="E35" s="206"/>
      <c r="F35" s="206"/>
      <c r="G35" s="206"/>
    </row>
    <row r="36" spans="1:7" x14ac:dyDescent="0.25">
      <c r="B36" s="206"/>
      <c r="C36" s="281"/>
      <c r="D36" s="206"/>
      <c r="E36" s="206"/>
      <c r="F36" s="206"/>
      <c r="G36" s="206"/>
    </row>
    <row r="37" spans="1:7" x14ac:dyDescent="0.25">
      <c r="B37" s="206"/>
      <c r="C37" s="281"/>
      <c r="D37" s="206"/>
      <c r="E37" s="206"/>
      <c r="F37" s="206"/>
      <c r="G37" s="206"/>
    </row>
    <row r="38" spans="1:7" x14ac:dyDescent="0.25">
      <c r="B38" s="206"/>
      <c r="C38" s="281"/>
      <c r="D38" s="206"/>
      <c r="E38" s="206"/>
      <c r="F38" s="206"/>
      <c r="G38" s="206"/>
    </row>
    <row r="39" spans="1:7" x14ac:dyDescent="0.25">
      <c r="B39" s="206"/>
      <c r="C39" s="281"/>
      <c r="D39" s="206"/>
      <c r="E39" s="206"/>
      <c r="F39" s="206"/>
      <c r="G39" s="206"/>
    </row>
    <row r="40" spans="1:7" x14ac:dyDescent="0.25">
      <c r="B40" s="206"/>
      <c r="C40" s="281"/>
      <c r="D40" s="206"/>
      <c r="E40" s="206"/>
      <c r="F40" s="206"/>
      <c r="G40" s="206"/>
    </row>
    <row r="41" spans="1:7" x14ac:dyDescent="0.25">
      <c r="B41" s="206"/>
      <c r="C41" s="281"/>
      <c r="D41" s="206"/>
      <c r="E41" s="206"/>
      <c r="F41" s="206"/>
      <c r="G41" s="206"/>
    </row>
    <row r="42" spans="1:7" x14ac:dyDescent="0.25">
      <c r="B42" s="206"/>
      <c r="C42" s="281"/>
      <c r="D42" s="206"/>
      <c r="E42" s="206"/>
      <c r="F42" s="206"/>
      <c r="G42" s="206"/>
    </row>
    <row r="43" spans="1:7" x14ac:dyDescent="0.25">
      <c r="B43" s="206"/>
      <c r="C43" s="281"/>
      <c r="D43" s="206"/>
      <c r="E43" s="206"/>
      <c r="F43" s="206"/>
      <c r="G43" s="206"/>
    </row>
    <row r="44" spans="1:7" x14ac:dyDescent="0.25">
      <c r="B44" s="206"/>
      <c r="C44" s="281"/>
      <c r="D44" s="206"/>
      <c r="E44" s="206"/>
      <c r="F44" s="206"/>
      <c r="G44" s="206"/>
    </row>
    <row r="45" spans="1:7" x14ac:dyDescent="0.25">
      <c r="B45" s="206"/>
      <c r="C45" s="281"/>
      <c r="D45" s="206"/>
      <c r="E45" s="206"/>
      <c r="F45" s="206"/>
      <c r="G45" s="206"/>
    </row>
    <row r="46" spans="1:7" x14ac:dyDescent="0.25">
      <c r="B46" s="206"/>
      <c r="C46" s="281"/>
      <c r="D46" s="206"/>
      <c r="E46" s="206"/>
      <c r="F46" s="206"/>
      <c r="G46" s="206"/>
    </row>
    <row r="47" spans="1:7" x14ac:dyDescent="0.25">
      <c r="B47" s="206"/>
      <c r="C47" s="281"/>
      <c r="D47" s="206"/>
      <c r="E47" s="206"/>
      <c r="F47" s="206"/>
      <c r="G47" s="206"/>
    </row>
    <row r="48" spans="1:7" x14ac:dyDescent="0.25">
      <c r="B48" s="206"/>
      <c r="C48" s="281"/>
      <c r="D48" s="206"/>
      <c r="E48" s="206"/>
      <c r="F48" s="206"/>
      <c r="G48" s="206"/>
    </row>
    <row r="49" spans="2:7" x14ac:dyDescent="0.25">
      <c r="B49" s="206"/>
      <c r="C49" s="281"/>
      <c r="D49" s="206"/>
      <c r="E49" s="206"/>
      <c r="F49" s="206"/>
      <c r="G49" s="206"/>
    </row>
    <row r="50" spans="2:7" x14ac:dyDescent="0.25">
      <c r="B50" s="206"/>
      <c r="C50" s="281"/>
      <c r="D50" s="206"/>
      <c r="E50" s="206"/>
      <c r="F50" s="206"/>
      <c r="G50" s="206"/>
    </row>
  </sheetData>
  <phoneticPr fontId="0" type="noConversion"/>
  <pageMargins left="0.75" right="0.75" top="1" bottom="1" header="0.5" footer="0.5"/>
  <pageSetup orientation="portrait" r:id="rId1"/>
  <headerFooter alignWithMargins="0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DB353"/>
  <sheetViews>
    <sheetView zoomScale="88" zoomScaleNormal="88" workbookViewId="0">
      <pane xSplit="1" ySplit="10" topLeftCell="BB11" activePane="bottomRight" state="frozen"/>
      <selection activeCell="K29" sqref="K29"/>
      <selection pane="topRight" activeCell="K29" sqref="K29"/>
      <selection pane="bottomLeft" activeCell="K29" sqref="K29"/>
      <selection pane="bottomRight" activeCell="BD12" sqref="BD12"/>
    </sheetView>
  </sheetViews>
  <sheetFormatPr defaultColWidth="21.140625" defaultRowHeight="12.75" customHeight="1" x14ac:dyDescent="0.25"/>
  <cols>
    <col min="1" max="1" width="7.140625" style="197" customWidth="1"/>
    <col min="2" max="2" width="47.7109375" style="197" customWidth="1"/>
    <col min="3" max="6" width="18" style="197" customWidth="1"/>
    <col min="7" max="7" width="6.85546875" style="3" customWidth="1"/>
    <col min="8" max="8" width="60.140625" style="3" customWidth="1"/>
    <col min="9" max="9" width="23.7109375" style="3" customWidth="1"/>
    <col min="10" max="10" width="21" style="3" bestFit="1" customWidth="1"/>
    <col min="11" max="11" width="19" style="3" bestFit="1" customWidth="1"/>
    <col min="12" max="12" width="6.85546875" style="3" customWidth="1"/>
    <col min="13" max="13" width="83.85546875" style="3" customWidth="1"/>
    <col min="14" max="14" width="20" style="3" customWidth="1"/>
    <col min="15" max="15" width="6.85546875" style="3" customWidth="1"/>
    <col min="16" max="16" width="55" style="3" customWidth="1"/>
    <col min="17" max="17" width="21.42578125" style="3" customWidth="1"/>
    <col min="18" max="18" width="22.140625" style="3" customWidth="1"/>
    <col min="19" max="19" width="7.140625" style="3" customWidth="1"/>
    <col min="20" max="20" width="73.28515625" style="3" bestFit="1" customWidth="1"/>
    <col min="21" max="21" width="16.140625" style="3" customWidth="1"/>
    <col min="22" max="22" width="18.140625" style="3" customWidth="1"/>
    <col min="23" max="23" width="6.42578125" style="3" bestFit="1" customWidth="1"/>
    <col min="24" max="24" width="73.140625" style="3" bestFit="1" customWidth="1"/>
    <col min="25" max="25" width="5.42578125" style="3" bestFit="1" customWidth="1"/>
    <col min="26" max="27" width="18.140625" style="3" customWidth="1"/>
    <col min="28" max="28" width="6.85546875" style="3" customWidth="1"/>
    <col min="29" max="29" width="39" style="3" customWidth="1"/>
    <col min="30" max="33" width="17" style="3" customWidth="1"/>
    <col min="34" max="34" width="16.7109375" style="3" customWidth="1"/>
    <col min="35" max="35" width="5.85546875" style="150" bestFit="1" customWidth="1"/>
    <col min="36" max="36" width="55.140625" style="150" bestFit="1" customWidth="1"/>
    <col min="37" max="39" width="17" style="150" customWidth="1"/>
    <col min="40" max="40" width="6.7109375" style="3" customWidth="1"/>
    <col min="41" max="41" width="40.85546875" style="3" bestFit="1" customWidth="1"/>
    <col min="42" max="42" width="14" style="3" customWidth="1"/>
    <col min="43" max="43" width="22.85546875" style="44" customWidth="1"/>
    <col min="44" max="44" width="5.85546875" style="150" bestFit="1" customWidth="1"/>
    <col min="45" max="45" width="55.140625" style="150" bestFit="1" customWidth="1"/>
    <col min="46" max="48" width="17" style="150" customWidth="1"/>
    <col min="49" max="49" width="5.85546875" style="162" customWidth="1"/>
    <col min="50" max="50" width="36.140625" style="162" bestFit="1" customWidth="1"/>
    <col min="51" max="51" width="16.140625" style="162" customWidth="1"/>
    <col min="52" max="52" width="18.85546875" style="162" customWidth="1"/>
    <col min="53" max="53" width="6.85546875" style="3" customWidth="1"/>
    <col min="54" max="54" width="52" style="3" customWidth="1"/>
    <col min="55" max="55" width="18.140625" style="3" customWidth="1"/>
    <col min="56" max="56" width="17.140625" style="3" customWidth="1"/>
    <col min="57" max="57" width="18.42578125" style="3" customWidth="1"/>
    <col min="58" max="58" width="6.42578125" style="150" bestFit="1" customWidth="1"/>
    <col min="59" max="59" width="72.28515625" style="150" customWidth="1"/>
    <col min="60" max="62" width="17" style="150" customWidth="1"/>
    <col min="63" max="63" width="6.85546875" style="3" customWidth="1"/>
    <col min="64" max="64" width="42.7109375" style="3" customWidth="1"/>
    <col min="65" max="65" width="17.7109375" style="3" customWidth="1"/>
    <col min="66" max="66" width="16.85546875" style="3" customWidth="1"/>
    <col min="67" max="67" width="19.140625" style="3" customWidth="1"/>
    <col min="68" max="68" width="4.140625" style="3" customWidth="1"/>
    <col min="69" max="69" width="6.85546875" style="3" customWidth="1"/>
    <col min="70" max="70" width="35.7109375" style="3" customWidth="1"/>
    <col min="71" max="71" width="23.42578125" style="3" bestFit="1" customWidth="1"/>
    <col min="72" max="75" width="23.85546875" style="3" customWidth="1"/>
    <col min="76" max="76" width="23.85546875" style="3" customWidth="1" collapsed="1"/>
    <col min="77" max="78" width="23.85546875" style="3" customWidth="1"/>
    <col min="79" max="79" width="5.85546875" style="3" bestFit="1" customWidth="1"/>
    <col min="80" max="80" width="60.140625" style="3" bestFit="1" customWidth="1"/>
    <col min="81" max="83" width="17.42578125" style="3" customWidth="1"/>
    <col min="84" max="84" width="23.7109375" style="3" customWidth="1"/>
    <col min="85" max="86" width="18.42578125" style="3" bestFit="1" customWidth="1"/>
    <col min="87" max="87" width="22" style="3" bestFit="1" customWidth="1"/>
    <col min="88" max="88" width="20.42578125" style="3" bestFit="1" customWidth="1"/>
    <col min="89" max="89" width="6.85546875" style="3" customWidth="1"/>
    <col min="90" max="90" width="60.140625" style="3" bestFit="1" customWidth="1"/>
    <col min="91" max="91" width="19.85546875" style="3" bestFit="1" customWidth="1"/>
    <col min="92" max="92" width="22" style="3" bestFit="1" customWidth="1"/>
    <col min="93" max="93" width="20.42578125" style="3" bestFit="1" customWidth="1"/>
    <col min="94" max="94" width="1.42578125" style="3" customWidth="1"/>
    <col min="95" max="96" width="20.42578125" bestFit="1" customWidth="1"/>
    <col min="104" max="104" width="62.28515625" bestFit="1" customWidth="1"/>
    <col min="107" max="16384" width="21.140625" style="3"/>
  </cols>
  <sheetData>
    <row r="1" spans="1:106" customFormat="1" ht="15" customHeight="1" thickBot="1" x14ac:dyDescent="0.25"/>
    <row r="2" spans="1:106" s="106" customFormat="1" ht="15" customHeight="1" thickTop="1" thickBot="1" x14ac:dyDescent="0.3">
      <c r="A2" s="410"/>
      <c r="B2" s="411"/>
      <c r="C2" s="410"/>
      <c r="D2" s="411"/>
      <c r="E2" s="411"/>
      <c r="F2" s="408" t="str">
        <f>BT11</f>
        <v>Adj 3.01</v>
      </c>
      <c r="G2" s="410"/>
      <c r="H2" s="410"/>
      <c r="I2" s="410"/>
      <c r="J2" s="411"/>
      <c r="K2" s="408" t="str">
        <f>BU11</f>
        <v>Adj 3.02</v>
      </c>
      <c r="N2" s="408" t="str">
        <f>BV11</f>
        <v>Adj 3.03</v>
      </c>
      <c r="P2" s="412" t="s">
        <v>20</v>
      </c>
      <c r="R2" s="408" t="str">
        <f>BW11</f>
        <v xml:space="preserve"> Adj 3.04</v>
      </c>
      <c r="V2" s="408" t="str">
        <f>BX11</f>
        <v>Adj 3.05</v>
      </c>
      <c r="W2" s="48"/>
      <c r="X2" s="48"/>
      <c r="Y2" s="48"/>
      <c r="Z2" s="48"/>
      <c r="AA2" s="408" t="str">
        <f>BY11</f>
        <v>Adj 3.06</v>
      </c>
      <c r="AC2" s="413"/>
      <c r="AD2" s="413"/>
      <c r="AE2" s="413"/>
      <c r="AF2" s="413"/>
      <c r="AG2" s="413"/>
      <c r="AH2" s="408" t="str">
        <f>BZ11</f>
        <v>Adj 3.07</v>
      </c>
      <c r="AI2" s="335"/>
      <c r="AJ2" s="335"/>
      <c r="AK2" s="335"/>
      <c r="AL2" s="335"/>
      <c r="AM2" s="408" t="str">
        <f>CC11</f>
        <v>Adj 3.08</v>
      </c>
      <c r="AQ2" s="408" t="str">
        <f>CD11</f>
        <v>Adj 3.09</v>
      </c>
      <c r="AR2" s="335"/>
      <c r="AS2" s="335"/>
      <c r="AT2" s="335"/>
      <c r="AU2" s="335"/>
      <c r="AV2" s="408" t="str">
        <f>CE11</f>
        <v>Adj 3.10</v>
      </c>
      <c r="AW2" s="414"/>
      <c r="AX2" s="414"/>
      <c r="AY2" s="414"/>
      <c r="AZ2" s="408" t="str">
        <f>CF11</f>
        <v>Adj 3.11</v>
      </c>
      <c r="BC2" s="415"/>
      <c r="BE2" s="408" t="str">
        <f>CG11</f>
        <v>Adj 3.12</v>
      </c>
      <c r="BF2" s="48"/>
      <c r="BG2" s="48"/>
      <c r="BH2" s="48"/>
      <c r="BI2" s="48"/>
      <c r="BJ2" s="408" t="str">
        <f>CH11</f>
        <v>Adj 3.13</v>
      </c>
      <c r="BO2" s="201" t="s">
        <v>243</v>
      </c>
      <c r="BS2" s="335"/>
      <c r="BZ2" s="416" t="s">
        <v>293</v>
      </c>
      <c r="CJ2" s="416" t="s">
        <v>294</v>
      </c>
      <c r="CO2" s="417" t="s">
        <v>295</v>
      </c>
      <c r="CQ2"/>
      <c r="CR2"/>
      <c r="CS2"/>
      <c r="CT2"/>
      <c r="CU2"/>
      <c r="CV2"/>
      <c r="CW2"/>
      <c r="CX2"/>
      <c r="CY2"/>
      <c r="CZ2"/>
      <c r="DA2"/>
      <c r="DB2"/>
    </row>
    <row r="3" spans="1:106" s="32" customFormat="1" ht="15" customHeight="1" x14ac:dyDescent="0.25">
      <c r="A3" s="182"/>
      <c r="B3" s="183"/>
      <c r="C3" s="184"/>
      <c r="D3" s="182"/>
      <c r="E3" s="197"/>
      <c r="F3" s="207"/>
      <c r="G3" s="182"/>
      <c r="H3" s="183"/>
      <c r="I3" s="184"/>
      <c r="J3" s="182"/>
      <c r="K3" s="197"/>
      <c r="AB3" s="85"/>
      <c r="AI3" s="211"/>
      <c r="AJ3" s="211"/>
      <c r="AK3" s="211"/>
      <c r="AL3" s="211"/>
      <c r="AN3" s="208"/>
      <c r="AO3" s="48"/>
      <c r="AP3" s="48"/>
      <c r="AR3" s="211"/>
      <c r="AS3" s="211"/>
      <c r="AT3" s="211"/>
      <c r="AU3" s="211"/>
      <c r="AW3" s="209"/>
      <c r="AX3" s="209"/>
      <c r="AY3" s="209"/>
      <c r="BC3" s="210"/>
      <c r="BL3" s="5"/>
      <c r="BM3" s="5"/>
      <c r="BN3" s="5"/>
      <c r="BP3" s="48"/>
      <c r="BQ3" s="31" t="s">
        <v>21</v>
      </c>
      <c r="BR3" s="5"/>
      <c r="BS3" s="109"/>
      <c r="BT3" s="5"/>
      <c r="BU3" s="5"/>
      <c r="BV3" s="5"/>
      <c r="BW3" s="5"/>
      <c r="BX3" s="5"/>
      <c r="BY3" s="5"/>
      <c r="BZ3" s="5"/>
      <c r="CA3" s="31" t="s">
        <v>21</v>
      </c>
      <c r="CB3" s="5"/>
      <c r="CC3" s="5"/>
      <c r="CD3" s="5"/>
      <c r="CE3" s="5"/>
      <c r="CF3" s="5"/>
      <c r="CG3" s="5"/>
      <c r="CH3" s="5"/>
      <c r="CI3" s="5"/>
      <c r="CJ3" s="5"/>
      <c r="CK3" s="31" t="str">
        <f>PSPL</f>
        <v>PUGET SOUND ENERGY-GAS</v>
      </c>
      <c r="CL3" s="5"/>
      <c r="CM3" s="5"/>
      <c r="CN3" s="5"/>
      <c r="CO3" s="86"/>
      <c r="CQ3"/>
      <c r="CR3"/>
      <c r="CS3"/>
      <c r="CT3"/>
      <c r="CU3"/>
      <c r="CV3"/>
      <c r="CW3"/>
      <c r="CX3"/>
      <c r="CY3"/>
      <c r="CZ3"/>
      <c r="DA3"/>
      <c r="DB3"/>
    </row>
    <row r="4" spans="1:106" s="38" customFormat="1" ht="15" customHeight="1" x14ac:dyDescent="0.25">
      <c r="A4" s="213" t="s">
        <v>21</v>
      </c>
      <c r="B4" s="290"/>
      <c r="C4" s="290"/>
      <c r="D4" s="290"/>
      <c r="E4" s="290"/>
      <c r="F4" s="290"/>
      <c r="G4" s="185" t="s">
        <v>21</v>
      </c>
      <c r="H4" s="186"/>
      <c r="I4" s="186"/>
      <c r="J4" s="186"/>
      <c r="K4" s="198"/>
      <c r="L4" s="31" t="str">
        <f>PSPL</f>
        <v>PUGET SOUND ENERGY-GAS</v>
      </c>
      <c r="M4" s="5"/>
      <c r="N4" s="87"/>
      <c r="O4" s="31" t="str">
        <f>PSPL</f>
        <v>PUGET SOUND ENERGY-GAS</v>
      </c>
      <c r="P4" s="5"/>
      <c r="Q4" s="5"/>
      <c r="R4" s="5"/>
      <c r="S4" s="31" t="str">
        <f>PSPL</f>
        <v>PUGET SOUND ENERGY-GAS</v>
      </c>
      <c r="T4" s="5"/>
      <c r="U4" s="5"/>
      <c r="V4" s="212"/>
      <c r="W4" s="31" t="str">
        <f>PSPL</f>
        <v>PUGET SOUND ENERGY-GAS</v>
      </c>
      <c r="X4" s="212"/>
      <c r="Y4" s="212"/>
      <c r="Z4" s="212"/>
      <c r="AA4" s="212"/>
      <c r="AB4" s="5" t="str">
        <f>PSPL</f>
        <v>PUGET SOUND ENERGY-GAS</v>
      </c>
      <c r="AC4" s="5"/>
      <c r="AD4" s="5"/>
      <c r="AE4" s="5"/>
      <c r="AF4" s="5"/>
      <c r="AG4" s="5"/>
      <c r="AH4" s="5"/>
      <c r="AI4" s="31" t="str">
        <f>PSPL</f>
        <v>PUGET SOUND ENERGY-GAS</v>
      </c>
      <c r="AJ4" s="5"/>
      <c r="AK4" s="5"/>
      <c r="AL4" s="5"/>
      <c r="AM4" s="121"/>
      <c r="AN4" s="31" t="str">
        <f>PSPL</f>
        <v>PUGET SOUND ENERGY-GAS</v>
      </c>
      <c r="AO4" s="5"/>
      <c r="AP4" s="5"/>
      <c r="AQ4" s="5"/>
      <c r="AR4" s="31" t="str">
        <f>PSPL</f>
        <v>PUGET SOUND ENERGY-GAS</v>
      </c>
      <c r="AS4" s="5"/>
      <c r="AT4" s="5"/>
      <c r="AU4" s="5"/>
      <c r="AV4" s="121"/>
      <c r="AW4" s="213" t="str">
        <f>PSPL</f>
        <v>PUGET SOUND ENERGY-GAS</v>
      </c>
      <c r="AX4" s="213"/>
      <c r="AY4" s="213"/>
      <c r="AZ4" s="213"/>
      <c r="BA4" s="31" t="str">
        <f>PSPL</f>
        <v>PUGET SOUND ENERGY-GAS</v>
      </c>
      <c r="BB4" s="5"/>
      <c r="BC4" s="214"/>
      <c r="BD4" s="5"/>
      <c r="BE4" s="5"/>
      <c r="BF4" s="31" t="str">
        <f>PSPL</f>
        <v>PUGET SOUND ENERGY-GAS</v>
      </c>
      <c r="BG4" s="121"/>
      <c r="BH4" s="121"/>
      <c r="BI4" s="121"/>
      <c r="BJ4" s="121"/>
      <c r="BK4" s="31" t="str">
        <f>PSPL</f>
        <v>PUGET SOUND ENERGY-GAS</v>
      </c>
      <c r="BL4" s="5"/>
      <c r="BM4" s="5"/>
      <c r="BN4" s="5"/>
      <c r="BO4" s="5"/>
      <c r="BP4" s="48"/>
      <c r="BQ4" s="31" t="s">
        <v>65</v>
      </c>
      <c r="BR4" s="5"/>
      <c r="BS4" s="109"/>
      <c r="BT4" s="5"/>
      <c r="BU4" s="88"/>
      <c r="BV4" s="5"/>
      <c r="BW4" s="31"/>
      <c r="BX4" s="31"/>
      <c r="BY4" s="31"/>
      <c r="BZ4" s="31"/>
      <c r="CA4" s="31" t="s">
        <v>65</v>
      </c>
      <c r="CB4" s="31"/>
      <c r="CC4" s="31"/>
      <c r="CD4" s="31"/>
      <c r="CE4" s="31"/>
      <c r="CF4" s="5"/>
      <c r="CG4" s="5"/>
      <c r="CH4" s="5"/>
      <c r="CI4" s="31"/>
      <c r="CJ4" s="5"/>
      <c r="CK4" s="31" t="s">
        <v>23</v>
      </c>
      <c r="CL4" s="31"/>
      <c r="CM4" s="31"/>
      <c r="CN4" s="31"/>
      <c r="CO4" s="31"/>
      <c r="CQ4"/>
      <c r="CR4"/>
      <c r="CS4"/>
      <c r="CT4"/>
      <c r="CU4"/>
      <c r="CV4"/>
      <c r="CW4"/>
      <c r="CX4"/>
      <c r="CY4"/>
      <c r="CZ4"/>
      <c r="DA4"/>
      <c r="DB4"/>
    </row>
    <row r="5" spans="1:106" s="298" customFormat="1" ht="15" customHeight="1" x14ac:dyDescent="0.25">
      <c r="A5" s="287" t="s">
        <v>170</v>
      </c>
      <c r="B5" s="288"/>
      <c r="C5" s="287"/>
      <c r="D5" s="288"/>
      <c r="E5" s="289"/>
      <c r="F5" s="290"/>
      <c r="G5" s="287" t="s">
        <v>173</v>
      </c>
      <c r="H5" s="288"/>
      <c r="I5" s="287"/>
      <c r="J5" s="288"/>
      <c r="K5" s="289"/>
      <c r="L5" s="291" t="s">
        <v>58</v>
      </c>
      <c r="M5" s="291"/>
      <c r="N5" s="292"/>
      <c r="O5" s="291" t="s">
        <v>93</v>
      </c>
      <c r="P5" s="291"/>
      <c r="Q5" s="291"/>
      <c r="R5" s="293"/>
      <c r="S5" s="291"/>
      <c r="T5" s="291" t="s">
        <v>171</v>
      </c>
      <c r="U5" s="293"/>
      <c r="V5" s="294"/>
      <c r="W5" s="291" t="s">
        <v>208</v>
      </c>
      <c r="X5" s="294"/>
      <c r="Y5" s="294"/>
      <c r="Z5" s="294"/>
      <c r="AA5" s="294"/>
      <c r="AB5" s="295" t="s">
        <v>84</v>
      </c>
      <c r="AC5" s="291"/>
      <c r="AD5" s="291"/>
      <c r="AE5" s="291"/>
      <c r="AF5" s="291"/>
      <c r="AG5" s="291"/>
      <c r="AH5" s="291"/>
      <c r="AI5" s="291" t="s">
        <v>183</v>
      </c>
      <c r="AJ5" s="291"/>
      <c r="AK5" s="291"/>
      <c r="AL5" s="291"/>
      <c r="AM5" s="293"/>
      <c r="AN5" s="295" t="s">
        <v>85</v>
      </c>
      <c r="AO5" s="293"/>
      <c r="AP5" s="293"/>
      <c r="AQ5" s="293"/>
      <c r="AR5" s="291" t="s">
        <v>98</v>
      </c>
      <c r="AS5" s="291"/>
      <c r="AT5" s="291"/>
      <c r="AU5" s="291"/>
      <c r="AV5" s="293"/>
      <c r="AW5" s="296" t="s">
        <v>110</v>
      </c>
      <c r="AX5" s="290"/>
      <c r="AY5" s="290"/>
      <c r="AZ5" s="290"/>
      <c r="BA5" s="291" t="s">
        <v>114</v>
      </c>
      <c r="BB5" s="291"/>
      <c r="BC5" s="297"/>
      <c r="BD5" s="291"/>
      <c r="BE5" s="293"/>
      <c r="BF5" s="291" t="s">
        <v>214</v>
      </c>
      <c r="BG5" s="293"/>
      <c r="BH5" s="293"/>
      <c r="BI5" s="293"/>
      <c r="BJ5" s="293"/>
      <c r="BK5" s="291" t="s">
        <v>22</v>
      </c>
      <c r="BL5" s="291"/>
      <c r="BM5" s="291"/>
      <c r="BN5" s="291"/>
      <c r="BO5" s="291"/>
      <c r="BP5" s="48"/>
      <c r="BQ5" s="291" t="str">
        <f>TESTYEAR</f>
        <v>FOR THE TWELVE MONTHS ENDED DECEMBER 31, 2019</v>
      </c>
      <c r="BR5" s="291"/>
      <c r="BS5" s="109"/>
      <c r="BT5" s="291"/>
      <c r="BU5" s="291"/>
      <c r="BV5" s="291"/>
      <c r="BW5" s="295"/>
      <c r="BX5" s="295"/>
      <c r="BY5" s="295"/>
      <c r="BZ5" s="295"/>
      <c r="CA5" s="291" t="str">
        <f>TESTYEAR</f>
        <v>FOR THE TWELVE MONTHS ENDED DECEMBER 31, 2019</v>
      </c>
      <c r="CB5" s="295"/>
      <c r="CC5" s="291"/>
      <c r="CD5" s="291"/>
      <c r="CE5" s="291"/>
      <c r="CF5" s="291"/>
      <c r="CG5" s="291"/>
      <c r="CH5" s="291"/>
      <c r="CI5" s="295"/>
      <c r="CJ5" s="291"/>
      <c r="CK5" s="291" t="str">
        <f>TESTYEAR</f>
        <v>FOR THE TWELVE MONTHS ENDED DECEMBER 31, 2019</v>
      </c>
      <c r="CL5" s="295"/>
      <c r="CM5" s="295"/>
      <c r="CN5" s="295"/>
      <c r="CO5" s="295"/>
      <c r="CQ5"/>
      <c r="CR5"/>
      <c r="CS5"/>
      <c r="CT5"/>
      <c r="CU5"/>
      <c r="CV5"/>
      <c r="CW5"/>
      <c r="CX5"/>
      <c r="CY5"/>
      <c r="CZ5"/>
      <c r="DA5"/>
      <c r="DB5"/>
    </row>
    <row r="6" spans="1:106" s="38" customFormat="1" ht="15" customHeight="1" x14ac:dyDescent="0.25">
      <c r="A6" s="186" t="s">
        <v>325</v>
      </c>
      <c r="B6" s="186"/>
      <c r="C6" s="185"/>
      <c r="D6" s="186"/>
      <c r="E6" s="198"/>
      <c r="F6" s="216"/>
      <c r="G6" s="5" t="str">
        <f>TESTYEAR</f>
        <v>FOR THE TWELVE MONTHS ENDED DECEMBER 31, 2019</v>
      </c>
      <c r="H6" s="186"/>
      <c r="I6" s="185"/>
      <c r="J6" s="186"/>
      <c r="K6" s="198"/>
      <c r="L6" s="5" t="str">
        <f>TESTYEAR</f>
        <v>FOR THE TWELVE MONTHS ENDED DECEMBER 31, 2019</v>
      </c>
      <c r="M6" s="5"/>
      <c r="N6" s="87"/>
      <c r="O6" s="5" t="str">
        <f>TESTYEAR</f>
        <v>FOR THE TWELVE MONTHS ENDED DECEMBER 31, 2019</v>
      </c>
      <c r="P6" s="5"/>
      <c r="Q6" s="5"/>
      <c r="R6" s="33"/>
      <c r="S6" s="5" t="str">
        <f>TESTYEAR</f>
        <v>FOR THE TWELVE MONTHS ENDED DECEMBER 31, 2019</v>
      </c>
      <c r="T6" s="5"/>
      <c r="U6" s="33"/>
      <c r="V6" s="212"/>
      <c r="W6" s="5" t="str">
        <f>TESTYEAR</f>
        <v>FOR THE TWELVE MONTHS ENDED DECEMBER 31, 2019</v>
      </c>
      <c r="X6" s="212"/>
      <c r="Y6" s="212"/>
      <c r="Z6" s="212"/>
      <c r="AA6" s="212"/>
      <c r="AB6" s="31" t="str">
        <f>TESTYEAR</f>
        <v>FOR THE TWELVE MONTHS ENDED DECEMBER 31, 2019</v>
      </c>
      <c r="AC6" s="5"/>
      <c r="AD6" s="5"/>
      <c r="AE6" s="5"/>
      <c r="AF6" s="5"/>
      <c r="AG6" s="5"/>
      <c r="AH6" s="5"/>
      <c r="AI6" s="5" t="str">
        <f>TESTYEAR</f>
        <v>FOR THE TWELVE MONTHS ENDED DECEMBER 31, 2019</v>
      </c>
      <c r="AJ6" s="5"/>
      <c r="AK6" s="5"/>
      <c r="AL6" s="5"/>
      <c r="AM6" s="33"/>
      <c r="AN6" s="5" t="str">
        <f>TESTYEAR</f>
        <v>FOR THE TWELVE MONTHS ENDED DECEMBER 31, 2019</v>
      </c>
      <c r="AO6" s="33"/>
      <c r="AP6" s="33"/>
      <c r="AQ6" s="33"/>
      <c r="AR6" s="5" t="str">
        <f>TESTYEAR</f>
        <v>FOR THE TWELVE MONTHS ENDED DECEMBER 31, 2019</v>
      </c>
      <c r="AS6" s="5"/>
      <c r="AT6" s="5"/>
      <c r="AU6" s="5"/>
      <c r="AV6" s="33"/>
      <c r="AW6" s="215" t="str">
        <f>TESTYEAR</f>
        <v>FOR THE TWELVE MONTHS ENDED DECEMBER 31, 2019</v>
      </c>
      <c r="AX6" s="213"/>
      <c r="AY6" s="213"/>
      <c r="AZ6" s="213"/>
      <c r="BA6" s="5" t="str">
        <f>TESTYEAR</f>
        <v>FOR THE TWELVE MONTHS ENDED DECEMBER 31, 2019</v>
      </c>
      <c r="BB6" s="5"/>
      <c r="BC6" s="214"/>
      <c r="BD6" s="5"/>
      <c r="BE6" s="33"/>
      <c r="BF6" s="5" t="str">
        <f>TESTYEAR</f>
        <v>FOR THE TWELVE MONTHS ENDED DECEMBER 31, 2019</v>
      </c>
      <c r="BG6" s="33"/>
      <c r="BH6" s="33"/>
      <c r="BI6" s="33"/>
      <c r="BJ6" s="33"/>
      <c r="BK6" s="5" t="str">
        <f>TESTYEAR</f>
        <v>FOR THE TWELVE MONTHS ENDED DECEMBER 31, 2019</v>
      </c>
      <c r="BL6" s="5"/>
      <c r="BM6" s="5"/>
      <c r="BN6" s="5"/>
      <c r="BO6" s="5"/>
      <c r="BP6" s="48"/>
      <c r="BQ6" s="31" t="str">
        <f>DOCKET</f>
        <v>COMMISSION BASIS REPORT</v>
      </c>
      <c r="BR6" s="5"/>
      <c r="BS6" s="109"/>
      <c r="BT6" s="5"/>
      <c r="BU6" s="5"/>
      <c r="BV6" s="5"/>
      <c r="BW6" s="5"/>
      <c r="BX6" s="5"/>
      <c r="BY6" s="5"/>
      <c r="BZ6" s="5"/>
      <c r="CA6" s="5" t="str">
        <f>DOCKET</f>
        <v>COMMISSION BASIS REPORT</v>
      </c>
      <c r="CB6" s="5"/>
      <c r="CC6" s="31"/>
      <c r="CD6" s="31"/>
      <c r="CE6" s="31"/>
      <c r="CF6" s="5"/>
      <c r="CG6" s="5"/>
      <c r="CH6" s="5"/>
      <c r="CI6" s="5"/>
      <c r="CJ6" s="5"/>
      <c r="CK6" s="5" t="str">
        <f>DOCKET</f>
        <v>COMMISSION BASIS REPORT</v>
      </c>
      <c r="CL6" s="5"/>
      <c r="CM6" s="5"/>
      <c r="CN6" s="5"/>
      <c r="CO6" s="5"/>
      <c r="CQ6"/>
      <c r="CR6"/>
      <c r="CS6"/>
      <c r="CT6"/>
      <c r="CU6"/>
      <c r="CV6"/>
      <c r="CW6"/>
      <c r="CX6"/>
      <c r="CY6"/>
      <c r="CZ6"/>
      <c r="DA6"/>
      <c r="DB6"/>
    </row>
    <row r="7" spans="1:106" s="32" customFormat="1" ht="15" customHeight="1" x14ac:dyDescent="0.25">
      <c r="A7" s="185" t="s">
        <v>91</v>
      </c>
      <c r="B7" s="186"/>
      <c r="C7" s="185"/>
      <c r="D7" s="185"/>
      <c r="E7" s="198"/>
      <c r="F7" s="33"/>
      <c r="G7" s="185" t="s">
        <v>91</v>
      </c>
      <c r="H7" s="186"/>
      <c r="I7" s="185"/>
      <c r="J7" s="185"/>
      <c r="K7" s="198"/>
      <c r="L7" s="5" t="str">
        <f>DOCKET</f>
        <v>COMMISSION BASIS REPORT</v>
      </c>
      <c r="M7" s="31"/>
      <c r="N7" s="87"/>
      <c r="O7" s="31" t="str">
        <f>DOCKET</f>
        <v>COMMISSION BASIS REPORT</v>
      </c>
      <c r="P7" s="5"/>
      <c r="Q7" s="5"/>
      <c r="R7" s="33"/>
      <c r="S7" s="31" t="str">
        <f>DOCKET</f>
        <v>COMMISSION BASIS REPORT</v>
      </c>
      <c r="T7" s="31"/>
      <c r="U7" s="5"/>
      <c r="V7" s="212"/>
      <c r="W7" s="31" t="str">
        <f>DOCKET</f>
        <v>COMMISSION BASIS REPORT</v>
      </c>
      <c r="X7" s="212"/>
      <c r="Y7" s="212"/>
      <c r="Z7" s="212"/>
      <c r="AA7" s="212"/>
      <c r="AB7" s="31" t="str">
        <f>DOCKET</f>
        <v>COMMISSION BASIS REPORT</v>
      </c>
      <c r="AC7" s="5"/>
      <c r="AD7" s="5"/>
      <c r="AE7" s="5"/>
      <c r="AF7" s="5"/>
      <c r="AG7" s="5"/>
      <c r="AH7" s="5"/>
      <c r="AI7" s="31" t="str">
        <f>DOCKET</f>
        <v>COMMISSION BASIS REPORT</v>
      </c>
      <c r="AJ7" s="5"/>
      <c r="AK7" s="5"/>
      <c r="AL7" s="31"/>
      <c r="AM7" s="33"/>
      <c r="AN7" s="31" t="str">
        <f>DOCKET</f>
        <v>COMMISSION BASIS REPORT</v>
      </c>
      <c r="AO7" s="5"/>
      <c r="AP7" s="5"/>
      <c r="AQ7" s="5"/>
      <c r="AR7" s="31" t="str">
        <f>DOCKET</f>
        <v>COMMISSION BASIS REPORT</v>
      </c>
      <c r="AS7" s="5"/>
      <c r="AT7" s="5"/>
      <c r="AU7" s="31"/>
      <c r="AV7" s="33"/>
      <c r="AW7" s="215" t="str">
        <f>DOCKET</f>
        <v>COMMISSION BASIS REPORT</v>
      </c>
      <c r="AX7" s="213"/>
      <c r="AY7" s="213"/>
      <c r="AZ7" s="213"/>
      <c r="BA7" s="5" t="str">
        <f>DOCKET</f>
        <v>COMMISSION BASIS REPORT</v>
      </c>
      <c r="BB7" s="5"/>
      <c r="BC7" s="214"/>
      <c r="BD7" s="5"/>
      <c r="BE7" s="5"/>
      <c r="BF7" s="31" t="str">
        <f>DOCKET</f>
        <v>COMMISSION BASIS REPORT</v>
      </c>
      <c r="BG7" s="33"/>
      <c r="BH7" s="33"/>
      <c r="BI7" s="33"/>
      <c r="BJ7" s="33"/>
      <c r="BK7" s="31" t="str">
        <f>DOCKET</f>
        <v>COMMISSION BASIS REPORT</v>
      </c>
      <c r="BL7" s="5"/>
      <c r="BM7" s="5"/>
      <c r="BN7" s="5"/>
      <c r="BO7" s="5"/>
      <c r="BP7" s="48"/>
      <c r="BQ7" s="89"/>
      <c r="BR7" s="5"/>
      <c r="BS7" s="109" t="s">
        <v>20</v>
      </c>
      <c r="BT7" s="5"/>
      <c r="BU7" s="5"/>
      <c r="BV7" s="5"/>
      <c r="BW7" s="31"/>
      <c r="BX7" s="31"/>
      <c r="BY7" s="31"/>
      <c r="BZ7" s="31"/>
      <c r="CA7" s="31"/>
      <c r="CB7" s="31"/>
      <c r="CC7" s="5"/>
      <c r="CD7" s="5"/>
      <c r="CE7" s="5"/>
      <c r="CF7" s="5"/>
      <c r="CG7" s="5"/>
      <c r="CH7" s="5"/>
      <c r="CI7" s="31"/>
      <c r="CJ7" s="5"/>
      <c r="CL7" s="5"/>
      <c r="CM7" s="5"/>
      <c r="CN7" s="5"/>
      <c r="CO7" s="5"/>
      <c r="CQ7"/>
      <c r="CR7"/>
      <c r="CS7"/>
      <c r="CT7"/>
      <c r="CU7"/>
      <c r="CV7"/>
      <c r="CW7"/>
      <c r="CX7"/>
      <c r="CY7"/>
      <c r="CZ7"/>
      <c r="DA7"/>
      <c r="DB7"/>
    </row>
    <row r="8" spans="1:106" s="32" customFormat="1" ht="15" customHeight="1" x14ac:dyDescent="0.25">
      <c r="A8" s="182"/>
      <c r="B8" s="182"/>
      <c r="C8" s="182"/>
      <c r="D8" s="182"/>
      <c r="E8" s="160"/>
      <c r="F8" s="160"/>
      <c r="G8" s="160"/>
      <c r="H8" s="158"/>
      <c r="I8" s="158"/>
      <c r="J8" s="158"/>
      <c r="K8" s="158"/>
      <c r="M8" s="34"/>
      <c r="N8" s="90"/>
      <c r="P8" s="34"/>
      <c r="Q8" s="30"/>
      <c r="R8" s="30"/>
      <c r="S8" s="133"/>
      <c r="AD8" s="158"/>
      <c r="AE8" s="158"/>
      <c r="AF8" s="158" t="s">
        <v>177</v>
      </c>
      <c r="AG8" s="158"/>
      <c r="AH8" s="158" t="s">
        <v>102</v>
      </c>
      <c r="AI8" s="211"/>
      <c r="AJ8" s="218"/>
      <c r="AK8" s="218"/>
      <c r="AL8" s="211"/>
      <c r="AM8" s="211"/>
      <c r="AR8" s="211"/>
      <c r="AS8" s="218"/>
      <c r="AT8" s="218"/>
      <c r="AU8" s="211"/>
      <c r="AV8" s="211"/>
      <c r="AW8" s="209"/>
      <c r="AX8" s="209"/>
      <c r="AY8" s="209"/>
      <c r="AZ8" s="209"/>
      <c r="BA8" s="217"/>
      <c r="BC8" s="210"/>
      <c r="BF8" s="211"/>
      <c r="BG8" s="211"/>
      <c r="BH8" s="211"/>
      <c r="BI8" s="211"/>
      <c r="BJ8" s="211"/>
      <c r="BS8" s="65" t="s">
        <v>24</v>
      </c>
      <c r="BT8" s="65"/>
      <c r="BU8" s="65"/>
      <c r="BV8" s="65"/>
      <c r="BW8" s="65"/>
      <c r="BX8" s="65"/>
      <c r="BY8" s="65"/>
      <c r="BZ8" s="65"/>
      <c r="CA8" s="65" t="s">
        <v>24</v>
      </c>
      <c r="CB8" s="91"/>
      <c r="CC8" s="65"/>
      <c r="CD8" s="65"/>
      <c r="CE8" s="65"/>
      <c r="CF8" s="65"/>
      <c r="CG8" s="65"/>
      <c r="CH8" s="65"/>
      <c r="CI8" s="65"/>
      <c r="CJ8" s="65"/>
      <c r="CQ8"/>
      <c r="CR8"/>
      <c r="CS8"/>
      <c r="CT8"/>
      <c r="CU8"/>
      <c r="CV8"/>
      <c r="CW8"/>
      <c r="CX8"/>
      <c r="CY8"/>
      <c r="CZ8"/>
      <c r="DA8"/>
      <c r="DB8"/>
    </row>
    <row r="9" spans="1:106" s="32" customFormat="1" ht="15" customHeight="1" x14ac:dyDescent="0.25">
      <c r="A9" s="160" t="s">
        <v>25</v>
      </c>
      <c r="B9" s="184"/>
      <c r="C9" s="182"/>
      <c r="D9" s="182"/>
      <c r="E9" s="160"/>
      <c r="F9" s="160"/>
      <c r="G9" s="160" t="s">
        <v>25</v>
      </c>
      <c r="H9" s="158"/>
      <c r="I9" s="158"/>
      <c r="J9" s="158"/>
      <c r="K9" s="158"/>
      <c r="L9" s="41" t="s">
        <v>25</v>
      </c>
      <c r="N9" s="90"/>
      <c r="O9" s="41" t="s">
        <v>25</v>
      </c>
      <c r="R9" s="17" t="s">
        <v>20</v>
      </c>
      <c r="S9" s="17" t="s">
        <v>25</v>
      </c>
      <c r="U9" s="133"/>
      <c r="V9" s="219"/>
      <c r="W9" s="17" t="s">
        <v>25</v>
      </c>
      <c r="AA9" s="38"/>
      <c r="AB9" s="41" t="s">
        <v>25</v>
      </c>
      <c r="AC9" s="34"/>
      <c r="AD9" s="158" t="s">
        <v>103</v>
      </c>
      <c r="AE9" s="158" t="s">
        <v>104</v>
      </c>
      <c r="AF9" s="158" t="s">
        <v>178</v>
      </c>
      <c r="AG9" s="158" t="s">
        <v>103</v>
      </c>
      <c r="AH9" s="158" t="s">
        <v>105</v>
      </c>
      <c r="AI9" s="41" t="s">
        <v>25</v>
      </c>
      <c r="AK9" s="424"/>
      <c r="AL9" s="425"/>
      <c r="AM9" s="425"/>
      <c r="AN9" s="41" t="s">
        <v>25</v>
      </c>
      <c r="AR9" s="17" t="s">
        <v>25</v>
      </c>
      <c r="AS9" s="211"/>
      <c r="AT9" s="211"/>
      <c r="AU9" s="211"/>
      <c r="AV9" s="211"/>
      <c r="AW9" s="160" t="s">
        <v>25</v>
      </c>
      <c r="AX9" s="220"/>
      <c r="AY9" s="220"/>
      <c r="AZ9" s="209"/>
      <c r="BA9" s="217" t="s">
        <v>26</v>
      </c>
      <c r="BC9" s="210"/>
      <c r="BD9" s="41"/>
      <c r="BE9" s="41"/>
      <c r="BF9" s="41" t="s">
        <v>25</v>
      </c>
      <c r="BH9" s="41"/>
      <c r="BI9" s="41"/>
      <c r="BJ9" s="41"/>
      <c r="BK9" s="17" t="s">
        <v>25</v>
      </c>
      <c r="BS9" s="17" t="s">
        <v>27</v>
      </c>
      <c r="BT9" s="30" t="s">
        <v>145</v>
      </c>
      <c r="BU9" s="30" t="s">
        <v>175</v>
      </c>
      <c r="BV9" s="30" t="s">
        <v>28</v>
      </c>
      <c r="BW9" s="30" t="s">
        <v>29</v>
      </c>
      <c r="BX9" s="17" t="s">
        <v>166</v>
      </c>
      <c r="BY9" s="17" t="s">
        <v>206</v>
      </c>
      <c r="BZ9" s="30" t="s">
        <v>30</v>
      </c>
      <c r="CA9" s="30"/>
      <c r="CB9" s="30"/>
      <c r="CC9" s="17" t="s">
        <v>181</v>
      </c>
      <c r="CD9" s="17" t="s">
        <v>86</v>
      </c>
      <c r="CE9" s="17" t="s">
        <v>100</v>
      </c>
      <c r="CF9" s="158" t="s">
        <v>112</v>
      </c>
      <c r="CG9" s="17" t="s">
        <v>117</v>
      </c>
      <c r="CH9" s="17" t="s">
        <v>212</v>
      </c>
      <c r="CI9" s="17" t="s">
        <v>32</v>
      </c>
      <c r="CJ9" s="17" t="s">
        <v>76</v>
      </c>
      <c r="CM9" s="17" t="s">
        <v>31</v>
      </c>
      <c r="CN9" s="17"/>
      <c r="CO9" s="17" t="s">
        <v>35</v>
      </c>
      <c r="CQ9"/>
      <c r="CR9"/>
      <c r="CS9"/>
      <c r="CT9"/>
      <c r="CU9"/>
      <c r="CV9"/>
      <c r="CW9"/>
      <c r="CX9"/>
      <c r="CY9"/>
      <c r="CZ9"/>
      <c r="DA9"/>
      <c r="DB9"/>
    </row>
    <row r="10" spans="1:106" s="32" customFormat="1" ht="15" customHeight="1" x14ac:dyDescent="0.25">
      <c r="A10" s="161" t="s">
        <v>33</v>
      </c>
      <c r="B10" s="221" t="s">
        <v>34</v>
      </c>
      <c r="C10" s="54" t="s">
        <v>31</v>
      </c>
      <c r="D10" s="54" t="s">
        <v>35</v>
      </c>
      <c r="E10" s="409" t="s">
        <v>37</v>
      </c>
      <c r="F10" s="409"/>
      <c r="G10" s="161" t="s">
        <v>33</v>
      </c>
      <c r="H10" s="190" t="s">
        <v>34</v>
      </c>
      <c r="I10" s="190"/>
      <c r="J10" s="191" t="s">
        <v>37</v>
      </c>
      <c r="K10" s="191"/>
      <c r="L10" s="54" t="s">
        <v>33</v>
      </c>
      <c r="M10" s="36" t="s">
        <v>34</v>
      </c>
      <c r="N10" s="92" t="s">
        <v>36</v>
      </c>
      <c r="O10" s="54" t="s">
        <v>33</v>
      </c>
      <c r="P10" s="36" t="s">
        <v>34</v>
      </c>
      <c r="Q10" s="23"/>
      <c r="R10" s="23" t="s">
        <v>36</v>
      </c>
      <c r="S10" s="23" t="s">
        <v>33</v>
      </c>
      <c r="T10" s="222" t="s">
        <v>34</v>
      </c>
      <c r="U10" s="23"/>
      <c r="V10" s="223" t="s">
        <v>37</v>
      </c>
      <c r="W10" s="23" t="s">
        <v>33</v>
      </c>
      <c r="X10" s="222" t="s">
        <v>34</v>
      </c>
      <c r="Y10" s="36"/>
      <c r="Z10" s="275"/>
      <c r="AA10" s="23" t="s">
        <v>36</v>
      </c>
      <c r="AB10" s="54" t="s">
        <v>33</v>
      </c>
      <c r="AC10" s="159" t="s">
        <v>108</v>
      </c>
      <c r="AD10" s="159" t="s">
        <v>105</v>
      </c>
      <c r="AE10" s="159" t="s">
        <v>106</v>
      </c>
      <c r="AF10" s="159" t="s">
        <v>175</v>
      </c>
      <c r="AG10" s="159" t="s">
        <v>106</v>
      </c>
      <c r="AH10" s="159" t="s">
        <v>107</v>
      </c>
      <c r="AI10" s="23" t="s">
        <v>33</v>
      </c>
      <c r="AJ10" s="35" t="s">
        <v>34</v>
      </c>
      <c r="AK10" s="226" t="s">
        <v>31</v>
      </c>
      <c r="AL10" s="228" t="s">
        <v>35</v>
      </c>
      <c r="AM10" s="54" t="s">
        <v>37</v>
      </c>
      <c r="AN10" s="23" t="s">
        <v>33</v>
      </c>
      <c r="AO10" s="222" t="s">
        <v>34</v>
      </c>
      <c r="AP10" s="222"/>
      <c r="AQ10" s="54" t="s">
        <v>36</v>
      </c>
      <c r="AR10" s="23" t="s">
        <v>33</v>
      </c>
      <c r="AS10" s="222" t="s">
        <v>34</v>
      </c>
      <c r="AT10" s="23" t="s">
        <v>92</v>
      </c>
      <c r="AU10" s="23" t="s">
        <v>35</v>
      </c>
      <c r="AV10" s="227" t="s">
        <v>37</v>
      </c>
      <c r="AW10" s="161" t="s">
        <v>33</v>
      </c>
      <c r="AX10" s="221" t="s">
        <v>34</v>
      </c>
      <c r="AY10" s="159"/>
      <c r="AZ10" s="224" t="s">
        <v>36</v>
      </c>
      <c r="BA10" s="225" t="s">
        <v>33</v>
      </c>
      <c r="BB10" s="36" t="s">
        <v>34</v>
      </c>
      <c r="BC10" s="226" t="s">
        <v>31</v>
      </c>
      <c r="BD10" s="54" t="s">
        <v>205</v>
      </c>
      <c r="BE10" s="54" t="s">
        <v>37</v>
      </c>
      <c r="BF10" s="23" t="s">
        <v>33</v>
      </c>
      <c r="BG10" s="35" t="s">
        <v>34</v>
      </c>
      <c r="BH10" s="54" t="s">
        <v>31</v>
      </c>
      <c r="BI10" s="54" t="s">
        <v>35</v>
      </c>
      <c r="BJ10" s="54" t="s">
        <v>37</v>
      </c>
      <c r="BK10" s="23" t="s">
        <v>33</v>
      </c>
      <c r="BL10" s="36" t="s">
        <v>34</v>
      </c>
      <c r="BM10" s="23" t="s">
        <v>45</v>
      </c>
      <c r="BN10" s="23" t="s">
        <v>46</v>
      </c>
      <c r="BO10" s="23" t="s">
        <v>36</v>
      </c>
      <c r="BP10" s="30"/>
      <c r="BQ10" s="17" t="s">
        <v>25</v>
      </c>
      <c r="BR10" s="146"/>
      <c r="BS10" s="17" t="s">
        <v>38</v>
      </c>
      <c r="BT10" s="30" t="s">
        <v>146</v>
      </c>
      <c r="BU10" s="30" t="s">
        <v>174</v>
      </c>
      <c r="BV10" s="30" t="s">
        <v>40</v>
      </c>
      <c r="BW10" s="30" t="s">
        <v>41</v>
      </c>
      <c r="BX10" s="17" t="s">
        <v>172</v>
      </c>
      <c r="BY10" s="17" t="s">
        <v>207</v>
      </c>
      <c r="BZ10" s="30" t="s">
        <v>42</v>
      </c>
      <c r="CA10" s="17" t="s">
        <v>25</v>
      </c>
      <c r="CC10" s="17" t="s">
        <v>182</v>
      </c>
      <c r="CD10" s="17" t="s">
        <v>87</v>
      </c>
      <c r="CE10" s="17" t="s">
        <v>101</v>
      </c>
      <c r="CF10" s="229" t="s">
        <v>113</v>
      </c>
      <c r="CG10" s="17" t="s">
        <v>118</v>
      </c>
      <c r="CH10" s="17" t="s">
        <v>213</v>
      </c>
      <c r="CI10" s="30" t="s">
        <v>43</v>
      </c>
      <c r="CJ10" s="17" t="s">
        <v>44</v>
      </c>
      <c r="CK10" s="17" t="s">
        <v>25</v>
      </c>
      <c r="CM10" s="17" t="s">
        <v>44</v>
      </c>
      <c r="CN10" s="17" t="s">
        <v>32</v>
      </c>
      <c r="CO10" s="17" t="s">
        <v>44</v>
      </c>
      <c r="CQ10"/>
      <c r="CR10"/>
      <c r="CS10"/>
      <c r="CT10"/>
      <c r="CU10"/>
      <c r="CV10"/>
      <c r="CW10"/>
      <c r="CX10"/>
      <c r="CY10"/>
      <c r="CZ10"/>
      <c r="DA10"/>
      <c r="DB10"/>
    </row>
    <row r="11" spans="1:106" ht="15" customHeight="1" x14ac:dyDescent="0.25">
      <c r="A11" s="165"/>
      <c r="B11" s="230"/>
      <c r="C11" s="230"/>
      <c r="D11" s="187"/>
      <c r="E11" s="157"/>
      <c r="F11" s="157"/>
      <c r="G11" s="157"/>
      <c r="H11" s="192"/>
      <c r="I11" s="192"/>
      <c r="J11" s="193"/>
      <c r="K11" s="193"/>
      <c r="N11" s="57"/>
      <c r="O11" s="18"/>
      <c r="P11" s="80"/>
      <c r="Q11" s="81" t="s">
        <v>20</v>
      </c>
      <c r="R11" s="58"/>
      <c r="S11" s="18"/>
      <c r="T11" s="231"/>
      <c r="U11" s="232"/>
      <c r="V11" s="233"/>
      <c r="W11" s="233"/>
      <c r="X11" s="233"/>
      <c r="Y11" s="233"/>
      <c r="Z11" s="233"/>
      <c r="AA11" s="233"/>
      <c r="AD11" s="495" t="s">
        <v>261</v>
      </c>
      <c r="AE11" s="495" t="s">
        <v>262</v>
      </c>
      <c r="AF11" s="495" t="s">
        <v>262</v>
      </c>
      <c r="AG11" s="495" t="s">
        <v>262</v>
      </c>
      <c r="AI11" s="3"/>
      <c r="AJ11" s="3"/>
      <c r="AK11" s="3"/>
      <c r="AL11" s="3"/>
      <c r="AM11" s="3"/>
      <c r="AQ11" s="3"/>
      <c r="AR11" s="19"/>
      <c r="AS11" s="19"/>
      <c r="AT11" s="19"/>
      <c r="AU11" s="19"/>
      <c r="AV11" s="19"/>
      <c r="BA11" s="55"/>
      <c r="BB11" s="56"/>
      <c r="BC11" s="21"/>
      <c r="BF11" s="3"/>
      <c r="BG11" s="188"/>
      <c r="BH11" s="188"/>
      <c r="BI11" s="188"/>
      <c r="BJ11" s="188"/>
      <c r="BQ11" s="17" t="s">
        <v>33</v>
      </c>
      <c r="BR11" s="106"/>
      <c r="BS11" s="17" t="s">
        <v>305</v>
      </c>
      <c r="BT11" s="202" t="s">
        <v>230</v>
      </c>
      <c r="BU11" s="202" t="s">
        <v>231</v>
      </c>
      <c r="BV11" s="202" t="s">
        <v>232</v>
      </c>
      <c r="BW11" s="202" t="s">
        <v>233</v>
      </c>
      <c r="BX11" s="202" t="s">
        <v>234</v>
      </c>
      <c r="BY11" s="202" t="s">
        <v>235</v>
      </c>
      <c r="BZ11" s="202" t="s">
        <v>236</v>
      </c>
      <c r="CA11" s="17" t="s">
        <v>33</v>
      </c>
      <c r="CB11" s="32"/>
      <c r="CC11" s="202" t="s">
        <v>237</v>
      </c>
      <c r="CD11" s="202" t="s">
        <v>238</v>
      </c>
      <c r="CE11" s="202" t="s">
        <v>239</v>
      </c>
      <c r="CF11" s="202" t="s">
        <v>240</v>
      </c>
      <c r="CG11" s="202" t="s">
        <v>241</v>
      </c>
      <c r="CH11" s="202" t="s">
        <v>242</v>
      </c>
      <c r="CI11" s="30"/>
      <c r="CJ11" s="30" t="s">
        <v>38</v>
      </c>
      <c r="CK11" s="23" t="s">
        <v>33</v>
      </c>
      <c r="CL11" s="93"/>
      <c r="CM11" s="23" t="s">
        <v>38</v>
      </c>
      <c r="CN11" s="23" t="s">
        <v>43</v>
      </c>
      <c r="CO11" s="23" t="s">
        <v>38</v>
      </c>
    </row>
    <row r="12" spans="1:106" ht="15" customHeight="1" x14ac:dyDescent="0.25">
      <c r="A12" s="18">
        <v>1</v>
      </c>
      <c r="B12" s="164" t="s">
        <v>135</v>
      </c>
      <c r="C12" s="166"/>
      <c r="D12" s="166"/>
      <c r="E12" s="162"/>
      <c r="F12" s="157"/>
      <c r="G12" s="55">
        <v>1</v>
      </c>
      <c r="H12" s="162" t="s">
        <v>147</v>
      </c>
      <c r="I12" s="162"/>
      <c r="J12" s="162"/>
      <c r="K12" s="162"/>
      <c r="L12" s="110">
        <v>1</v>
      </c>
      <c r="M12" s="94" t="s">
        <v>48</v>
      </c>
      <c r="N12" s="505">
        <f>'[2]Lead G'!$C$13</f>
        <v>124778682.69528182</v>
      </c>
      <c r="O12" s="18">
        <v>1</v>
      </c>
      <c r="P12" s="80" t="s">
        <v>63</v>
      </c>
      <c r="Q12" s="388">
        <f>CO46</f>
        <v>2173327889.0222359</v>
      </c>
      <c r="R12" s="20"/>
      <c r="S12" s="18">
        <v>1</v>
      </c>
      <c r="T12" s="234" t="s">
        <v>152</v>
      </c>
      <c r="V12" s="44"/>
      <c r="W12" s="18">
        <v>1</v>
      </c>
      <c r="X12" s="211" t="s">
        <v>209</v>
      </c>
      <c r="Y12" s="276"/>
      <c r="Z12" s="97"/>
      <c r="AA12"/>
      <c r="AB12" s="37" t="s">
        <v>47</v>
      </c>
      <c r="AC12" s="496" t="s">
        <v>326</v>
      </c>
      <c r="AD12" s="27">
        <f>'[3]Lead Sheet'!C14</f>
        <v>4066020.6499999994</v>
      </c>
      <c r="AE12" s="27">
        <f>'[3]Lead Sheet'!D14</f>
        <v>975271378.21000004</v>
      </c>
      <c r="AF12" s="27">
        <f>'[3]Lead Sheet'!E14</f>
        <v>13046355.58</v>
      </c>
      <c r="AG12" s="328">
        <f>'[3]Lead Sheet'!F14</f>
        <v>962225022.63</v>
      </c>
      <c r="AH12" s="360">
        <f>ROUND(AD12/AG12,6)</f>
        <v>4.2259999999999997E-3</v>
      </c>
      <c r="AI12" s="18">
        <v>1</v>
      </c>
      <c r="AJ12" s="82"/>
      <c r="AK12" s="237"/>
      <c r="AL12" s="237"/>
      <c r="AM12" s="27"/>
      <c r="AN12" s="18">
        <v>1</v>
      </c>
      <c r="AO12" s="235" t="s">
        <v>78</v>
      </c>
      <c r="AP12" s="236"/>
      <c r="AQ12" s="14">
        <f>'[4]Lead G'!$D$12</f>
        <v>34996690.660504989</v>
      </c>
      <c r="AR12" s="18">
        <v>1</v>
      </c>
      <c r="AS12" s="19" t="s">
        <v>99</v>
      </c>
      <c r="AT12" s="326">
        <f>+'[5] Gas'!C12</f>
        <v>57439.766287808692</v>
      </c>
      <c r="AU12" s="326">
        <f>+'[5] Gas'!D12</f>
        <v>48657.199215171058</v>
      </c>
      <c r="AV12" s="326">
        <f>+AU12-AT12</f>
        <v>-8782.5670726376338</v>
      </c>
      <c r="AW12" s="18">
        <v>1</v>
      </c>
      <c r="AX12" s="164" t="s">
        <v>111</v>
      </c>
      <c r="AY12" s="164"/>
      <c r="AZ12" s="141">
        <f>'[6]3.11G'!$D$12</f>
        <v>169052.95471925227</v>
      </c>
      <c r="BA12" s="55">
        <v>1</v>
      </c>
      <c r="BB12" s="166" t="s">
        <v>64</v>
      </c>
      <c r="BC12" s="348">
        <f>'[7]Lead G'!$C$14</f>
        <v>1848302.2847516856</v>
      </c>
      <c r="BD12" s="348">
        <f>'[7]Lead G'!$D$14</f>
        <v>2856985.8270812258</v>
      </c>
      <c r="BE12" s="134">
        <f>BD12-BC12</f>
        <v>1008683.5423295402</v>
      </c>
      <c r="BF12" s="18">
        <v>1</v>
      </c>
      <c r="BG12" s="134" t="s">
        <v>215</v>
      </c>
      <c r="BH12" s="338">
        <f>'[8]Lead G'!$C$13</f>
        <v>-121750</v>
      </c>
      <c r="BI12" s="338">
        <f>'[8]Lead G'!$D$13</f>
        <v>157450.82666666666</v>
      </c>
      <c r="BJ12" s="339">
        <f>BI12-BH12</f>
        <v>279200.82666666666</v>
      </c>
      <c r="BK12" s="18">
        <v>1</v>
      </c>
      <c r="BL12" s="166" t="s">
        <v>84</v>
      </c>
      <c r="BO12" s="378">
        <f>'[9]4.01 G'!$E$13</f>
        <v>4.7650000000000001E-3</v>
      </c>
      <c r="BP12" s="238"/>
      <c r="BQ12" s="4" t="s">
        <v>49</v>
      </c>
      <c r="BR12" s="4"/>
      <c r="BS12" s="239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</row>
    <row r="13" spans="1:106" ht="15" customHeight="1" x14ac:dyDescent="0.25">
      <c r="A13" s="18">
        <f t="shared" ref="A13:A50" si="0">+A12+1</f>
        <v>2</v>
      </c>
      <c r="B13" s="162"/>
      <c r="C13" s="240" t="s">
        <v>31</v>
      </c>
      <c r="D13" s="241" t="s">
        <v>136</v>
      </c>
      <c r="E13" s="242" t="s">
        <v>137</v>
      </c>
      <c r="F13" s="157"/>
      <c r="G13" s="55">
        <f t="shared" ref="G13:G39" si="1">+G12+1</f>
        <v>2</v>
      </c>
      <c r="H13" s="283"/>
      <c r="I13" s="195"/>
      <c r="J13" s="314"/>
      <c r="K13" s="162"/>
      <c r="L13" s="110">
        <f>L12+1</f>
        <v>2</v>
      </c>
      <c r="M13" s="19"/>
      <c r="N13" s="506"/>
      <c r="O13" s="18">
        <f t="shared" ref="O13:O24" si="2">+O12+1</f>
        <v>2</v>
      </c>
      <c r="P13" s="420"/>
      <c r="Q13" s="332"/>
      <c r="R13" s="20" t="s">
        <v>20</v>
      </c>
      <c r="S13" s="18">
        <f t="shared" ref="S13:S42" si="3">+S12+1</f>
        <v>2</v>
      </c>
      <c r="T13" s="384" t="s">
        <v>153</v>
      </c>
      <c r="V13" s="27">
        <f>'[10]Lead 3.05 '!E10</f>
        <v>4843046.8499999996</v>
      </c>
      <c r="W13" s="18">
        <f t="shared" ref="W13:W24" si="4">+W12+1</f>
        <v>2</v>
      </c>
      <c r="X13" s="19"/>
      <c r="Y13" s="276"/>
      <c r="Z13" s="97"/>
      <c r="AA13"/>
      <c r="AB13" s="37">
        <f t="shared" ref="AB13:AB29" si="5">1+AB12</f>
        <v>2</v>
      </c>
      <c r="AC13" s="496" t="s">
        <v>301</v>
      </c>
      <c r="AD13" s="27">
        <f>'[3]Lead Sheet'!C15</f>
        <v>4457528.6000000006</v>
      </c>
      <c r="AE13" s="27">
        <f>'[3]Lead Sheet'!D15</f>
        <v>896161552.14999998</v>
      </c>
      <c r="AF13" s="27">
        <f>'[3]Lead Sheet'!E15</f>
        <v>14277246.51</v>
      </c>
      <c r="AG13" s="67">
        <f>'[3]Lead Sheet'!F15</f>
        <v>881884305.63999999</v>
      </c>
      <c r="AH13" s="360">
        <f>ROUND(AD13/AG13,6)</f>
        <v>5.0549999999999996E-3</v>
      </c>
      <c r="AI13" s="18">
        <f t="shared" ref="AI13:AI21" si="6">AI12+1</f>
        <v>2</v>
      </c>
      <c r="AJ13" s="270" t="s">
        <v>259</v>
      </c>
      <c r="AK13" s="237">
        <f>'[11] Gas'!$C$12</f>
        <v>3549464.4616660471</v>
      </c>
      <c r="AL13" s="348">
        <f>'[11] Gas'!$D$12</f>
        <v>4208724.7228179025</v>
      </c>
      <c r="AM13" s="343">
        <f>AL13-AK13</f>
        <v>659260.26115185535</v>
      </c>
      <c r="AN13" s="18">
        <v>2</v>
      </c>
      <c r="AO13" s="49" t="s">
        <v>79</v>
      </c>
      <c r="AP13" s="49"/>
      <c r="AQ13" s="426">
        <f>'[4]Lead G'!$C$12</f>
        <v>34852244.711249992</v>
      </c>
      <c r="AR13" s="18">
        <f t="shared" ref="AR13:AR20" si="7">AR12+1</f>
        <v>2</v>
      </c>
      <c r="AS13" s="19"/>
      <c r="AT13" s="327">
        <f>+'[5] Gas'!C13</f>
        <v>0</v>
      </c>
      <c r="AU13" s="327">
        <f>+'[5] Gas'!D13</f>
        <v>0</v>
      </c>
      <c r="AV13" s="81"/>
      <c r="AW13" s="18">
        <f>AW12+1</f>
        <v>2</v>
      </c>
      <c r="AX13" s="243"/>
      <c r="AY13" s="243"/>
      <c r="AZ13" s="27"/>
      <c r="BA13" s="55">
        <f t="shared" ref="BA13:BA20" si="8">BA12+1</f>
        <v>2</v>
      </c>
      <c r="BB13" s="166"/>
      <c r="BC13" s="349"/>
      <c r="BD13" s="349"/>
      <c r="BE13" s="149"/>
      <c r="BF13" s="18">
        <f t="shared" ref="BF13:BF19" si="9">BF12+1</f>
        <v>2</v>
      </c>
      <c r="BG13" s="134" t="s">
        <v>216</v>
      </c>
      <c r="BH13" s="340">
        <f>'[8]Lead G'!$C$14</f>
        <v>934148.70096439891</v>
      </c>
      <c r="BI13" s="340">
        <f>'[8]Lead G'!$D$14</f>
        <v>1162586.6454453932</v>
      </c>
      <c r="BJ13" s="340">
        <f>BI13-BH13</f>
        <v>228437.94448099425</v>
      </c>
      <c r="BK13" s="18">
        <f t="shared" ref="BK13:BK20" si="10">+BK12+1</f>
        <v>2</v>
      </c>
      <c r="BL13" s="166" t="s">
        <v>158</v>
      </c>
      <c r="BO13" s="244">
        <f>'[9]4.01 G'!$E$14</f>
        <v>2E-3</v>
      </c>
      <c r="BP13" s="245"/>
      <c r="BQ13" s="18">
        <v>1</v>
      </c>
      <c r="BR13" s="19" t="s">
        <v>50</v>
      </c>
      <c r="BS13" s="519" t="s">
        <v>20</v>
      </c>
      <c r="BT13" s="24"/>
      <c r="BU13" s="24"/>
      <c r="BV13" s="24"/>
      <c r="BW13" s="24"/>
      <c r="BX13" s="24"/>
      <c r="BY13" s="24"/>
      <c r="CA13" s="18">
        <v>1</v>
      </c>
      <c r="CB13" s="19" t="s">
        <v>50</v>
      </c>
      <c r="CC13" s="18"/>
      <c r="CD13" s="24"/>
      <c r="CE13" s="18"/>
      <c r="CG13" s="18"/>
      <c r="CH13" s="18"/>
      <c r="CI13" s="172"/>
      <c r="CJ13" s="172"/>
      <c r="CK13" s="18">
        <v>1</v>
      </c>
      <c r="CL13" s="56" t="s">
        <v>0</v>
      </c>
      <c r="CM13" s="24"/>
    </row>
    <row r="14" spans="1:106" ht="15" customHeight="1" x14ac:dyDescent="0.25">
      <c r="A14" s="18">
        <f t="shared" si="0"/>
        <v>3</v>
      </c>
      <c r="B14" s="162"/>
      <c r="C14" s="246" t="s">
        <v>137</v>
      </c>
      <c r="D14" s="247" t="s">
        <v>137</v>
      </c>
      <c r="E14" s="248" t="s">
        <v>138</v>
      </c>
      <c r="F14" s="157"/>
      <c r="G14" s="55">
        <f t="shared" si="1"/>
        <v>3</v>
      </c>
      <c r="H14" s="194" t="s">
        <v>255</v>
      </c>
      <c r="I14" s="162"/>
      <c r="J14" s="405">
        <f>+'[12]3.02G'!$D$13</f>
        <v>22380.13</v>
      </c>
      <c r="K14" s="53"/>
      <c r="L14" s="110">
        <f t="shared" ref="L14:L32" si="11">L13+1</f>
        <v>3</v>
      </c>
      <c r="M14" s="19" t="s">
        <v>311</v>
      </c>
      <c r="N14" s="507"/>
      <c r="O14" s="18">
        <f t="shared" si="2"/>
        <v>3</v>
      </c>
      <c r="P14" s="3" t="s">
        <v>176</v>
      </c>
      <c r="Q14" s="334">
        <f>SUM(Q12:Q13)</f>
        <v>2173327889.0222359</v>
      </c>
      <c r="S14" s="18">
        <f t="shared" si="3"/>
        <v>3</v>
      </c>
      <c r="T14" s="384" t="s">
        <v>154</v>
      </c>
      <c r="V14" s="310">
        <f>'[10]Lead 3.05 '!E11</f>
        <v>16631607.470000001</v>
      </c>
      <c r="W14" s="18">
        <f t="shared" si="4"/>
        <v>3</v>
      </c>
      <c r="X14" s="19" t="s">
        <v>264</v>
      </c>
      <c r="Y14" s="276"/>
      <c r="Z14" s="302">
        <f>'[13]Lead G'!$D$15</f>
        <v>1097000</v>
      </c>
      <c r="AA14" s="38"/>
      <c r="AB14" s="37">
        <f t="shared" si="5"/>
        <v>3</v>
      </c>
      <c r="AC14" s="496" t="s">
        <v>302</v>
      </c>
      <c r="AD14" s="27">
        <f>'[3]Lead Sheet'!C16</f>
        <v>4875798.22</v>
      </c>
      <c r="AE14" s="27">
        <f>'[3]Lead Sheet'!D16</f>
        <v>985378965.08999991</v>
      </c>
      <c r="AF14" s="27">
        <f>'[3]Lead Sheet'!E16</f>
        <v>12751981.48</v>
      </c>
      <c r="AG14" s="67">
        <f>'[3]Lead Sheet'!F16</f>
        <v>972626983.6099999</v>
      </c>
      <c r="AH14" s="360">
        <f>ROUND(AD14/AG14,6)</f>
        <v>5.0130000000000001E-3</v>
      </c>
      <c r="AI14" s="18">
        <f t="shared" si="6"/>
        <v>3</v>
      </c>
      <c r="AJ14" s="44"/>
      <c r="AK14" s="3"/>
      <c r="AL14" s="3"/>
      <c r="AM14" s="348"/>
      <c r="AN14" s="18">
        <v>3</v>
      </c>
      <c r="AO14" s="249" t="s">
        <v>80</v>
      </c>
      <c r="AP14" s="249"/>
      <c r="AQ14" s="322">
        <f>AQ12-AQ13</f>
        <v>144445.94925499707</v>
      </c>
      <c r="AR14" s="18">
        <f t="shared" si="7"/>
        <v>3</v>
      </c>
      <c r="AS14" s="19" t="s">
        <v>54</v>
      </c>
      <c r="AT14" s="328">
        <f>SUM(AT12:AT13)</f>
        <v>57439.766287808692</v>
      </c>
      <c r="AU14" s="328">
        <f>SUM(AU12:AU13)</f>
        <v>48657.199215171058</v>
      </c>
      <c r="AV14" s="329">
        <f>SUM(AV12:AV13)</f>
        <v>-8782.5670726376338</v>
      </c>
      <c r="AW14" s="18">
        <f>AW13+1</f>
        <v>3</v>
      </c>
      <c r="AZ14" s="46"/>
      <c r="BA14" s="55">
        <f t="shared" si="8"/>
        <v>3</v>
      </c>
      <c r="BB14" s="166"/>
      <c r="BC14" s="350"/>
      <c r="BD14" s="350"/>
      <c r="BE14" s="350"/>
      <c r="BF14" s="18">
        <f t="shared" si="9"/>
        <v>3</v>
      </c>
      <c r="BG14" s="134" t="s">
        <v>217</v>
      </c>
      <c r="BH14" s="341">
        <f>SUM(BH12:BH13)</f>
        <v>812398.70096439891</v>
      </c>
      <c r="BI14" s="341">
        <f>SUM(BI12:BI13)</f>
        <v>1320037.4721120598</v>
      </c>
      <c r="BJ14" s="341">
        <f>SUM(BJ12:BJ13)</f>
        <v>507638.77114766091</v>
      </c>
      <c r="BK14" s="18">
        <f t="shared" si="10"/>
        <v>3</v>
      </c>
      <c r="BL14" s="166" t="s">
        <v>168</v>
      </c>
      <c r="BN14" s="514">
        <v>3.8519999999999999E-2</v>
      </c>
      <c r="BO14" s="483">
        <f>'[9]4.01 G'!$E$15</f>
        <v>3.8336000000000002E-2</v>
      </c>
      <c r="BP14" s="245"/>
      <c r="BQ14" s="18">
        <f t="shared" ref="BQ14:BQ57" si="12">+BQ13+1</f>
        <v>2</v>
      </c>
      <c r="BR14" s="19" t="s">
        <v>1</v>
      </c>
      <c r="BS14" s="348">
        <f>'[14]Allocated (CBR)'!$C$9</f>
        <v>885869830.97000003</v>
      </c>
      <c r="BT14" s="26">
        <f>+F35</f>
        <v>14976.038139999999</v>
      </c>
      <c r="BU14" s="26">
        <f>J14</f>
        <v>22380.13</v>
      </c>
      <c r="BV14" s="26">
        <v>0</v>
      </c>
      <c r="BW14" s="26">
        <v>0</v>
      </c>
      <c r="BX14" s="26">
        <f>-V13-V14-V16-V17-V15-V19-V21</f>
        <v>-112988024.11700603</v>
      </c>
      <c r="BY14" s="26"/>
      <c r="BZ14" s="26">
        <v>0</v>
      </c>
      <c r="CA14" s="18">
        <f t="shared" ref="CA14:CA57" si="13">+CA13+1</f>
        <v>2</v>
      </c>
      <c r="CB14" s="19" t="s">
        <v>1</v>
      </c>
      <c r="CC14" s="26"/>
      <c r="CD14" s="26"/>
      <c r="CE14" s="26">
        <v>0</v>
      </c>
      <c r="CF14" s="26">
        <v>0</v>
      </c>
      <c r="CG14" s="26">
        <v>0</v>
      </c>
      <c r="CH14" s="26"/>
      <c r="CI14" s="27">
        <f>SUM(BT14:CH14)-CA14</f>
        <v>-112950667.94886604</v>
      </c>
      <c r="CJ14" s="27">
        <f>BS14+CI14</f>
        <v>772919163.02113402</v>
      </c>
      <c r="CK14" s="18">
        <f t="shared" ref="CK14:CK57" si="14">+CK13+1</f>
        <v>2</v>
      </c>
      <c r="CL14" s="19" t="s">
        <v>1</v>
      </c>
      <c r="CM14" s="26">
        <f>BS14</f>
        <v>885869830.97000003</v>
      </c>
      <c r="CN14" s="26">
        <f>CI14</f>
        <v>-112950667.94886604</v>
      </c>
      <c r="CO14" s="66">
        <f>CM14+CN14</f>
        <v>772919163.02113402</v>
      </c>
      <c r="CP14" s="27"/>
    </row>
    <row r="15" spans="1:106" ht="15" customHeight="1" thickBot="1" x14ac:dyDescent="0.3">
      <c r="A15" s="18">
        <f t="shared" si="0"/>
        <v>4</v>
      </c>
      <c r="B15" s="497">
        <v>43466</v>
      </c>
      <c r="C15" s="363">
        <f>'[15]G Lead Sheet'!$C$16</f>
        <v>24523202.026999999</v>
      </c>
      <c r="D15" s="363">
        <f>'[15]G Lead Sheet'!$D$16</f>
        <v>25213227.026999995</v>
      </c>
      <c r="E15" s="363">
        <f>D15-C15</f>
        <v>690024.99999999627</v>
      </c>
      <c r="F15" s="513"/>
      <c r="G15" s="55">
        <f t="shared" si="1"/>
        <v>4</v>
      </c>
      <c r="H15" s="423"/>
      <c r="J15" s="68"/>
      <c r="L15" s="110">
        <f t="shared" si="11"/>
        <v>4</v>
      </c>
      <c r="M15" s="19" t="s">
        <v>312</v>
      </c>
      <c r="N15" s="507">
        <f>'[2]Lead G'!$C$16</f>
        <v>26203523.36600918</v>
      </c>
      <c r="O15" s="18">
        <f t="shared" si="2"/>
        <v>4</v>
      </c>
      <c r="S15" s="18">
        <f t="shared" si="3"/>
        <v>4</v>
      </c>
      <c r="T15" s="384" t="s">
        <v>229</v>
      </c>
      <c r="V15" s="397">
        <f>'[10]Lead 3.05 '!E12</f>
        <v>21521820.140000001</v>
      </c>
      <c r="W15" s="18">
        <f t="shared" si="4"/>
        <v>4</v>
      </c>
      <c r="X15" s="19"/>
      <c r="Y15" s="276"/>
      <c r="Z15" s="97"/>
      <c r="AA15" s="38"/>
      <c r="AB15" s="37">
        <f t="shared" si="5"/>
        <v>4</v>
      </c>
      <c r="AD15" s="27"/>
      <c r="AE15" s="328"/>
      <c r="AF15" s="328"/>
      <c r="AG15" s="328"/>
      <c r="AH15" s="38"/>
      <c r="AI15" s="18">
        <f t="shared" si="6"/>
        <v>4</v>
      </c>
      <c r="AJ15" s="82" t="s">
        <v>184</v>
      </c>
      <c r="AK15" s="348">
        <f>'[11] Gas'!$C$14</f>
        <v>314127.60485744523</v>
      </c>
      <c r="AL15" s="348">
        <f>'[11] Gas'!$D$14</f>
        <v>372472.13796938444</v>
      </c>
      <c r="AM15" s="84">
        <f>AL15-AK15</f>
        <v>58344.533111939207</v>
      </c>
      <c r="AN15" s="18">
        <v>4</v>
      </c>
      <c r="AQ15" s="27"/>
      <c r="AR15" s="18">
        <f t="shared" si="7"/>
        <v>4</v>
      </c>
      <c r="AS15" s="19"/>
      <c r="AT15" s="106"/>
      <c r="AU15" s="106"/>
      <c r="AV15" s="106"/>
      <c r="AW15" s="18">
        <f>AW14+1</f>
        <v>4</v>
      </c>
      <c r="AX15" s="162" t="s">
        <v>56</v>
      </c>
      <c r="AZ15" s="325">
        <f>-AZ12</f>
        <v>-169052.95471925227</v>
      </c>
      <c r="BA15" s="55">
        <f t="shared" si="8"/>
        <v>4</v>
      </c>
      <c r="BB15" s="166" t="s">
        <v>115</v>
      </c>
      <c r="BC15" s="351">
        <f>SUM(BC12:BC13)</f>
        <v>1848302.2847516856</v>
      </c>
      <c r="BD15" s="351">
        <f>SUM(BD12:BD13)</f>
        <v>2856985.8270812258</v>
      </c>
      <c r="BE15" s="351">
        <f>SUM(BE12:BE13)</f>
        <v>1008683.5423295402</v>
      </c>
      <c r="BF15" s="18">
        <f t="shared" si="9"/>
        <v>4</v>
      </c>
      <c r="BG15" s="280"/>
      <c r="BH15" s="342"/>
      <c r="BI15" s="342"/>
      <c r="BJ15" s="343"/>
      <c r="BK15" s="18">
        <f t="shared" si="10"/>
        <v>4</v>
      </c>
      <c r="BL15" s="166"/>
      <c r="BN15" s="250"/>
      <c r="BO15" s="379"/>
      <c r="BP15" s="251"/>
      <c r="BQ15" s="18">
        <f t="shared" si="12"/>
        <v>3</v>
      </c>
      <c r="BR15" s="19" t="s">
        <v>53</v>
      </c>
      <c r="BS15" s="310"/>
      <c r="BT15" s="44"/>
      <c r="BU15" s="44"/>
      <c r="BV15" s="44"/>
      <c r="BW15" s="44"/>
      <c r="BX15" s="44"/>
      <c r="BY15" s="44"/>
      <c r="BZ15" s="44"/>
      <c r="CA15" s="18">
        <f t="shared" si="13"/>
        <v>3</v>
      </c>
      <c r="CB15" s="19" t="s">
        <v>53</v>
      </c>
      <c r="CC15" s="44"/>
      <c r="CD15" s="44"/>
      <c r="CE15" s="44"/>
      <c r="CF15" s="44"/>
      <c r="CG15" s="44"/>
      <c r="CH15" s="44"/>
      <c r="CI15" s="44">
        <f>SUM(BT15:CH15)-CA15</f>
        <v>0</v>
      </c>
      <c r="CJ15" s="44">
        <f>BS15+CI15</f>
        <v>0</v>
      </c>
      <c r="CK15" s="18">
        <f t="shared" si="14"/>
        <v>3</v>
      </c>
      <c r="CL15" s="19" t="str">
        <f>BR15</f>
        <v>MUNICIPAL ADDITIONS</v>
      </c>
      <c r="CM15" s="15">
        <f>BS15</f>
        <v>0</v>
      </c>
      <c r="CN15" s="95">
        <f>CI15</f>
        <v>0</v>
      </c>
      <c r="CO15" s="67">
        <f>+CM15+CN15</f>
        <v>0</v>
      </c>
    </row>
    <row r="16" spans="1:106" ht="15" customHeight="1" thickTop="1" x14ac:dyDescent="0.25">
      <c r="A16" s="18">
        <f t="shared" si="0"/>
        <v>5</v>
      </c>
      <c r="B16" s="497">
        <v>43497</v>
      </c>
      <c r="C16" s="363">
        <f>'[15]G Lead Sheet'!$C$17</f>
        <v>18893134.166500002</v>
      </c>
      <c r="D16" s="363">
        <f>'[15]G Lead Sheet'!$D$17</f>
        <v>17732306.166500002</v>
      </c>
      <c r="E16" s="363">
        <f t="shared" ref="E16:E26" si="15">D16-C16</f>
        <v>-1160828</v>
      </c>
      <c r="F16" s="513"/>
      <c r="G16" s="55">
        <f t="shared" si="1"/>
        <v>5</v>
      </c>
      <c r="H16" s="162" t="s">
        <v>148</v>
      </c>
      <c r="I16" s="162"/>
      <c r="K16" s="314">
        <f>SUM(J14:J15)</f>
        <v>22380.13</v>
      </c>
      <c r="L16" s="110">
        <f t="shared" si="11"/>
        <v>5</v>
      </c>
      <c r="M16" s="19" t="s">
        <v>313</v>
      </c>
      <c r="N16" s="507">
        <f>'[2]Lead G'!$C$17</f>
        <v>1183967.1427530921</v>
      </c>
      <c r="O16" s="18">
        <f t="shared" si="2"/>
        <v>5</v>
      </c>
      <c r="P16" s="80" t="s">
        <v>67</v>
      </c>
      <c r="Q16" s="371">
        <f>'1.02 COC'!F17</f>
        <v>2.7900000000000001E-2</v>
      </c>
      <c r="R16" s="20" t="s">
        <v>20</v>
      </c>
      <c r="S16" s="18">
        <f t="shared" si="3"/>
        <v>5</v>
      </c>
      <c r="T16" s="384" t="s">
        <v>155</v>
      </c>
      <c r="V16" s="397">
        <f>'[10]Lead 3.05 '!E13</f>
        <v>-4854581.5840209294</v>
      </c>
      <c r="W16" s="18">
        <f t="shared" si="4"/>
        <v>5</v>
      </c>
      <c r="X16" s="277" t="s">
        <v>210</v>
      </c>
      <c r="Y16" s="25"/>
      <c r="Z16" s="315">
        <f>+Z14/2</f>
        <v>548500</v>
      </c>
      <c r="AA16" s="38"/>
      <c r="AB16" s="37">
        <f t="shared" si="5"/>
        <v>5</v>
      </c>
      <c r="AC16" s="252" t="s">
        <v>246</v>
      </c>
      <c r="AD16" s="27"/>
      <c r="AE16" s="328"/>
      <c r="AF16" s="328"/>
      <c r="AG16" s="328"/>
      <c r="AH16" s="361">
        <f>ROUND(SUM(AH12:AH14)/3,6)</f>
        <v>4.7650000000000001E-3</v>
      </c>
      <c r="AI16" s="18">
        <f t="shared" si="6"/>
        <v>5</v>
      </c>
      <c r="AJ16" s="3" t="s">
        <v>52</v>
      </c>
      <c r="AK16" s="376">
        <f>SUM(AK13:AK15)</f>
        <v>3863592.0665234923</v>
      </c>
      <c r="AL16" s="376">
        <f>SUM(AL13:AL15)</f>
        <v>4581196.8607872874</v>
      </c>
      <c r="AM16" s="376">
        <f>SUM(AM13:AM15)</f>
        <v>717604.79426379455</v>
      </c>
      <c r="AN16" s="18">
        <v>5</v>
      </c>
      <c r="AO16" s="253" t="s">
        <v>82</v>
      </c>
      <c r="AP16" s="254"/>
      <c r="AQ16" s="27">
        <f>'[4]Lead G'!$D$13</f>
        <v>1771689.66194</v>
      </c>
      <c r="AR16" s="18">
        <f t="shared" si="7"/>
        <v>5</v>
      </c>
      <c r="AS16" s="19" t="s">
        <v>96</v>
      </c>
      <c r="AT16" s="106"/>
      <c r="AU16" s="106"/>
      <c r="AV16" s="67">
        <f>-AV14</f>
        <v>8782.5670726376338</v>
      </c>
      <c r="AW16" s="255"/>
      <c r="BA16" s="55">
        <f t="shared" si="8"/>
        <v>5</v>
      </c>
      <c r="BB16" s="162"/>
      <c r="BC16" s="349"/>
      <c r="BD16" s="349"/>
      <c r="BE16" s="349"/>
      <c r="BF16" s="18">
        <f t="shared" si="9"/>
        <v>5</v>
      </c>
      <c r="BG16" s="134" t="s">
        <v>218</v>
      </c>
      <c r="BH16" s="342"/>
      <c r="BI16" s="342"/>
      <c r="BJ16" s="339">
        <f>BJ14</f>
        <v>507638.77114766091</v>
      </c>
      <c r="BK16" s="18">
        <f t="shared" si="10"/>
        <v>5</v>
      </c>
      <c r="BL16" s="166" t="s">
        <v>167</v>
      </c>
      <c r="BN16" s="250"/>
      <c r="BO16" s="244">
        <f>SUM(BO12:BO14)</f>
        <v>4.5101000000000002E-2</v>
      </c>
      <c r="BP16" s="245"/>
      <c r="BQ16" s="18">
        <f t="shared" si="12"/>
        <v>4</v>
      </c>
      <c r="BR16" s="19" t="s">
        <v>2</v>
      </c>
      <c r="BS16" s="310">
        <f>+'[14]Allocated (CBR)'!$C$12</f>
        <v>-10499138.549999999</v>
      </c>
      <c r="BT16" s="44"/>
      <c r="BU16" s="44">
        <f>K25</f>
        <v>-2184211.3899999997</v>
      </c>
      <c r="BV16" s="44"/>
      <c r="BW16" s="38"/>
      <c r="BX16" s="44">
        <f>-V18-V20-V22</f>
        <v>31788002.800000001</v>
      </c>
      <c r="BY16" s="44"/>
      <c r="BZ16" s="45"/>
      <c r="CA16" s="18">
        <f t="shared" si="13"/>
        <v>4</v>
      </c>
      <c r="CB16" s="19" t="s">
        <v>2</v>
      </c>
      <c r="CC16" s="45"/>
      <c r="CD16" s="45"/>
      <c r="CE16" s="45"/>
      <c r="CF16" s="45"/>
      <c r="CG16" s="45"/>
      <c r="CH16" s="45"/>
      <c r="CI16" s="45">
        <f>SUM(BT16:CH16)-CA16</f>
        <v>29603791.41</v>
      </c>
      <c r="CJ16" s="45">
        <f>BS16+CI16</f>
        <v>19104652.859999999</v>
      </c>
      <c r="CK16" s="18">
        <f t="shared" si="14"/>
        <v>4</v>
      </c>
      <c r="CL16" s="19" t="s">
        <v>2</v>
      </c>
      <c r="CM16" s="84">
        <f>BS16</f>
        <v>-10499138.549999999</v>
      </c>
      <c r="CN16" s="96">
        <f>CI16</f>
        <v>29603791.41</v>
      </c>
      <c r="CO16" s="68">
        <f>+CM16+CN16</f>
        <v>19104652.859999999</v>
      </c>
      <c r="CP16" s="27"/>
    </row>
    <row r="17" spans="1:106" ht="15" customHeight="1" x14ac:dyDescent="0.25">
      <c r="A17" s="18">
        <f t="shared" si="0"/>
        <v>6</v>
      </c>
      <c r="B17" s="497">
        <v>43525</v>
      </c>
      <c r="C17" s="363">
        <f>'[15]G Lead Sheet'!$C$18</f>
        <v>24497773.452</v>
      </c>
      <c r="D17" s="363">
        <f>'[15]G Lead Sheet'!$D$18</f>
        <v>24703475.452</v>
      </c>
      <c r="E17" s="363">
        <f t="shared" si="15"/>
        <v>205702</v>
      </c>
      <c r="F17" s="513"/>
      <c r="G17" s="55">
        <f t="shared" si="1"/>
        <v>6</v>
      </c>
      <c r="H17" s="162"/>
      <c r="I17" s="162"/>
      <c r="K17" s="314"/>
      <c r="L17" s="110">
        <f t="shared" si="11"/>
        <v>6</v>
      </c>
      <c r="M17" s="3" t="s">
        <v>314</v>
      </c>
      <c r="N17" s="507">
        <f>'[2]Lead G'!$C$18</f>
        <v>0</v>
      </c>
      <c r="O17" s="18">
        <f t="shared" si="2"/>
        <v>6</v>
      </c>
      <c r="P17" s="80" t="s">
        <v>41</v>
      </c>
      <c r="Q17" s="38"/>
      <c r="R17" s="148">
        <f>+Q14*Q16</f>
        <v>60635848.103720382</v>
      </c>
      <c r="S17" s="18">
        <f t="shared" si="3"/>
        <v>6</v>
      </c>
      <c r="T17" s="384" t="s">
        <v>221</v>
      </c>
      <c r="V17" s="397">
        <f>'[10]Lead 3.05 '!E14</f>
        <v>342618.72</v>
      </c>
      <c r="W17" s="18">
        <f t="shared" si="4"/>
        <v>6</v>
      </c>
      <c r="X17" s="278" t="s">
        <v>211</v>
      </c>
      <c r="Y17" s="2"/>
      <c r="Z17" s="50">
        <f>'[13]Lead G'!$D$18</f>
        <v>584072.38114499999</v>
      </c>
      <c r="AA17" s="38"/>
      <c r="AB17" s="37">
        <f t="shared" si="5"/>
        <v>6</v>
      </c>
      <c r="AE17" s="32"/>
      <c r="AI17" s="18">
        <f t="shared" si="6"/>
        <v>6</v>
      </c>
      <c r="AJ17" s="3"/>
      <c r="AK17" s="44"/>
      <c r="AL17" s="44"/>
      <c r="AM17" s="305"/>
      <c r="AN17" s="18">
        <v>6</v>
      </c>
      <c r="AO17" s="49" t="s">
        <v>79</v>
      </c>
      <c r="AP17" s="49"/>
      <c r="AQ17" s="426">
        <f>'[4]Lead G'!$C$13</f>
        <v>1753018.78</v>
      </c>
      <c r="AR17" s="18">
        <f t="shared" si="7"/>
        <v>6</v>
      </c>
      <c r="AS17" s="19"/>
      <c r="AT17" s="106"/>
      <c r="AU17" s="106"/>
      <c r="AV17" s="67"/>
      <c r="AW17" s="164"/>
      <c r="AX17" s="164"/>
      <c r="AY17" s="164"/>
      <c r="AZ17" s="164"/>
      <c r="BA17" s="55">
        <f t="shared" si="8"/>
        <v>6</v>
      </c>
      <c r="BB17" s="167" t="s">
        <v>116</v>
      </c>
      <c r="BC17" s="137"/>
      <c r="BD17" s="149"/>
      <c r="BE17" s="352">
        <f>-BE15</f>
        <v>-1008683.5423295402</v>
      </c>
      <c r="BF17" s="18">
        <f t="shared" si="9"/>
        <v>6</v>
      </c>
      <c r="BG17" s="145" t="s">
        <v>97</v>
      </c>
      <c r="BH17" s="15"/>
      <c r="BI17" s="353">
        <f>FIT</f>
        <v>0.21</v>
      </c>
      <c r="BJ17" s="344">
        <f>ROUND(-BJ16*BI17,0)</f>
        <v>-106604</v>
      </c>
      <c r="BK17" s="18">
        <f t="shared" si="10"/>
        <v>6</v>
      </c>
      <c r="BL17" s="162"/>
      <c r="BM17" s="256"/>
      <c r="BN17" s="250"/>
      <c r="BO17" s="245"/>
      <c r="BP17" s="245"/>
      <c r="BQ17" s="18">
        <f t="shared" si="12"/>
        <v>5</v>
      </c>
      <c r="BR17" s="19" t="s">
        <v>3</v>
      </c>
      <c r="BS17" s="42">
        <f t="shared" ref="BS17:BX17" si="16">SUM(BS14:BS16)</f>
        <v>875370692.42000008</v>
      </c>
      <c r="BT17" s="42">
        <f t="shared" si="16"/>
        <v>14976.038139999999</v>
      </c>
      <c r="BU17" s="42">
        <f t="shared" si="16"/>
        <v>-2161831.2599999998</v>
      </c>
      <c r="BV17" s="42">
        <f t="shared" si="16"/>
        <v>0</v>
      </c>
      <c r="BW17" s="42">
        <f t="shared" si="16"/>
        <v>0</v>
      </c>
      <c r="BX17" s="42">
        <f t="shared" si="16"/>
        <v>-81200021.317006037</v>
      </c>
      <c r="BY17" s="42"/>
      <c r="BZ17" s="42">
        <f>SUM(BZ14:BZ16)</f>
        <v>0</v>
      </c>
      <c r="CA17" s="18">
        <f t="shared" si="13"/>
        <v>5</v>
      </c>
      <c r="CB17" s="19" t="s">
        <v>3</v>
      </c>
      <c r="CC17" s="42">
        <f>SUM(CC14:CC16)</f>
        <v>0</v>
      </c>
      <c r="CD17" s="42">
        <f>SUM(CD14:CD16)</f>
        <v>0</v>
      </c>
      <c r="CE17" s="42">
        <f>SUM(CE14:CE16)</f>
        <v>0</v>
      </c>
      <c r="CF17" s="42">
        <f>SUM(CF14:CF16)</f>
        <v>0</v>
      </c>
      <c r="CG17" s="42">
        <f>SUM(CG14:CG16)</f>
        <v>0</v>
      </c>
      <c r="CH17" s="42"/>
      <c r="CI17" s="27">
        <f>SUM(BT17:CG17)-CA17</f>
        <v>-83346876.538866043</v>
      </c>
      <c r="CJ17" s="27">
        <f>BS17+CI17</f>
        <v>792023815.88113403</v>
      </c>
      <c r="CK17" s="18">
        <f t="shared" si="14"/>
        <v>5</v>
      </c>
      <c r="CL17" s="19" t="s">
        <v>3</v>
      </c>
      <c r="CM17" s="26">
        <f>SUM(CM14:CM16)</f>
        <v>875370692.42000008</v>
      </c>
      <c r="CN17" s="26">
        <f>SUM(CN14:CN16)</f>
        <v>-83346876.538866043</v>
      </c>
      <c r="CO17" s="42">
        <f>SUM(CO14:CO16)</f>
        <v>792023815.88113403</v>
      </c>
      <c r="CP17" s="27"/>
    </row>
    <row r="18" spans="1:106" ht="15" customHeight="1" x14ac:dyDescent="0.25">
      <c r="A18" s="18">
        <f t="shared" si="0"/>
        <v>7</v>
      </c>
      <c r="B18" s="497">
        <v>43556</v>
      </c>
      <c r="C18" s="363">
        <f>'[15]G Lead Sheet'!$C$19</f>
        <v>18422873.307999998</v>
      </c>
      <c r="D18" s="363">
        <f>'[15]G Lead Sheet'!$D$19</f>
        <v>18702832.307999998</v>
      </c>
      <c r="E18" s="363">
        <f t="shared" si="15"/>
        <v>279959</v>
      </c>
      <c r="F18" s="513"/>
      <c r="G18" s="55">
        <f t="shared" si="1"/>
        <v>7</v>
      </c>
      <c r="H18" s="19" t="s">
        <v>224</v>
      </c>
      <c r="I18" s="162"/>
      <c r="K18" s="314"/>
      <c r="L18" s="110">
        <f t="shared" si="11"/>
        <v>7</v>
      </c>
      <c r="M18" s="3" t="s">
        <v>315</v>
      </c>
      <c r="N18" s="507">
        <f>'[2]Lead G'!$C$19</f>
        <v>0</v>
      </c>
      <c r="O18" s="18">
        <f t="shared" si="2"/>
        <v>7</v>
      </c>
      <c r="P18" s="80"/>
      <c r="Q18" s="335"/>
      <c r="R18" s="20" t="s">
        <v>20</v>
      </c>
      <c r="S18" s="18">
        <f t="shared" si="3"/>
        <v>7</v>
      </c>
      <c r="T18" s="384" t="s">
        <v>222</v>
      </c>
      <c r="V18" s="397">
        <f>'[10]Lead 3.05 '!E15</f>
        <v>-159786.32</v>
      </c>
      <c r="W18" s="18">
        <f t="shared" si="4"/>
        <v>7</v>
      </c>
      <c r="X18" s="19" t="s">
        <v>51</v>
      </c>
      <c r="Y18" s="61"/>
      <c r="Z18" s="316">
        <f>+Z16-Z17</f>
        <v>-35572.381144999992</v>
      </c>
      <c r="AA18" s="317">
        <f>+Z18</f>
        <v>-35572.381144999992</v>
      </c>
      <c r="AB18" s="37">
        <f t="shared" si="5"/>
        <v>7</v>
      </c>
      <c r="AC18" s="257" t="s">
        <v>247</v>
      </c>
      <c r="AD18" s="27"/>
      <c r="AE18" s="405">
        <f>'[3]Lead Sheet'!D20</f>
        <v>875370692.42000008</v>
      </c>
      <c r="AF18" s="405">
        <f>'[3]Lead Sheet'!E20</f>
        <v>-10499138.549999999</v>
      </c>
      <c r="AG18" s="405">
        <f>'[3]Lead Sheet'!F20</f>
        <v>885869830.97000003</v>
      </c>
      <c r="AI18" s="18">
        <f t="shared" si="6"/>
        <v>7</v>
      </c>
      <c r="AJ18" s="3" t="s">
        <v>185</v>
      </c>
      <c r="AK18" s="44"/>
      <c r="AL18" s="44"/>
      <c r="AM18" s="305">
        <f>AM16</f>
        <v>717604.79426379455</v>
      </c>
      <c r="AN18" s="18">
        <v>7</v>
      </c>
      <c r="AO18" s="258" t="s">
        <v>81</v>
      </c>
      <c r="AP18" s="258"/>
      <c r="AQ18" s="323">
        <f>AQ16-AQ17</f>
        <v>18670.881939999992</v>
      </c>
      <c r="AR18" s="18">
        <f t="shared" si="7"/>
        <v>7</v>
      </c>
      <c r="AS18" s="19" t="s">
        <v>97</v>
      </c>
      <c r="AT18" s="106"/>
      <c r="AU18" s="147">
        <f>FIT</f>
        <v>0.21</v>
      </c>
      <c r="AV18" s="330">
        <f>AV16*AU18</f>
        <v>1844.339085253903</v>
      </c>
      <c r="BA18" s="55">
        <f t="shared" si="8"/>
        <v>7</v>
      </c>
      <c r="BB18" s="168" t="s">
        <v>97</v>
      </c>
      <c r="BC18" s="168"/>
      <c r="BD18" s="353">
        <f>FIT</f>
        <v>0.21</v>
      </c>
      <c r="BE18" s="354">
        <f>BE17*BD18</f>
        <v>-211823.54388920343</v>
      </c>
      <c r="BF18" s="18">
        <f t="shared" si="9"/>
        <v>7</v>
      </c>
      <c r="BG18" s="3"/>
      <c r="BH18" s="44"/>
      <c r="BI18" s="44"/>
      <c r="BJ18" s="345"/>
      <c r="BK18" s="18">
        <f t="shared" si="10"/>
        <v>7</v>
      </c>
      <c r="BL18" s="166" t="s">
        <v>227</v>
      </c>
      <c r="BM18" s="256"/>
      <c r="BO18" s="418">
        <f>ROUND((1-BO16),6)</f>
        <v>0.95489900000000005</v>
      </c>
      <c r="BP18" s="245"/>
      <c r="BQ18" s="18">
        <f t="shared" si="12"/>
        <v>6</v>
      </c>
      <c r="BZ18" s="20"/>
      <c r="CA18" s="18">
        <f t="shared" si="13"/>
        <v>6</v>
      </c>
      <c r="CC18" s="20"/>
      <c r="CE18" s="20"/>
      <c r="CF18" s="20"/>
      <c r="CG18" s="20"/>
      <c r="CH18" s="20"/>
      <c r="CI18" s="24"/>
      <c r="CJ18" s="24"/>
      <c r="CK18" s="18">
        <f t="shared" si="14"/>
        <v>6</v>
      </c>
    </row>
    <row r="19" spans="1:106" ht="15" customHeight="1" thickBot="1" x14ac:dyDescent="0.3">
      <c r="A19" s="18">
        <f t="shared" si="0"/>
        <v>8</v>
      </c>
      <c r="B19" s="497">
        <v>43586</v>
      </c>
      <c r="C19" s="363">
        <f>'[15]G Lead Sheet'!$C$20</f>
        <v>20547780.009594128</v>
      </c>
      <c r="D19" s="363">
        <f>'[15]G Lead Sheet'!$D$20</f>
        <v>20978627.009594128</v>
      </c>
      <c r="E19" s="363">
        <f t="shared" si="15"/>
        <v>430847</v>
      </c>
      <c r="F19" s="513"/>
      <c r="G19" s="55">
        <f t="shared" si="1"/>
        <v>8</v>
      </c>
      <c r="H19" s="283"/>
      <c r="I19" s="162"/>
      <c r="J19" s="27"/>
      <c r="K19" s="314"/>
      <c r="L19" s="110">
        <f t="shared" si="11"/>
        <v>8</v>
      </c>
      <c r="M19" s="3" t="s">
        <v>316</v>
      </c>
      <c r="N19" s="511">
        <f>SUM(N15:N18)</f>
        <v>27387490.50876227</v>
      </c>
      <c r="O19" s="18">
        <f t="shared" si="2"/>
        <v>8</v>
      </c>
      <c r="Q19" s="335"/>
      <c r="R19" s="20"/>
      <c r="S19" s="18">
        <f t="shared" si="3"/>
        <v>8</v>
      </c>
      <c r="T19" s="386" t="s">
        <v>244</v>
      </c>
      <c r="U19"/>
      <c r="V19" s="397">
        <f>'[10]Lead 3.05 '!E16</f>
        <v>33430516.641026955</v>
      </c>
      <c r="W19" s="18">
        <f t="shared" si="4"/>
        <v>8</v>
      </c>
      <c r="X19" s="19"/>
      <c r="Y19" s="61"/>
      <c r="Z19" s="318"/>
      <c r="AA19" s="319"/>
      <c r="AB19" s="37">
        <f t="shared" si="5"/>
        <v>8</v>
      </c>
      <c r="AE19" s="348"/>
      <c r="AF19" s="348"/>
      <c r="AG19" s="313"/>
      <c r="AI19" s="18">
        <f t="shared" si="6"/>
        <v>8</v>
      </c>
      <c r="AJ19" s="3"/>
      <c r="AK19" s="3"/>
      <c r="AL19" s="3"/>
      <c r="AM19" s="3"/>
      <c r="AN19" s="18">
        <v>8</v>
      </c>
      <c r="AQ19" s="27"/>
      <c r="AR19" s="18">
        <f t="shared" si="7"/>
        <v>8</v>
      </c>
      <c r="AS19" s="19"/>
      <c r="AT19" s="106"/>
      <c r="AU19" s="147"/>
      <c r="AV19" s="330"/>
      <c r="BA19" s="55">
        <f t="shared" si="8"/>
        <v>8</v>
      </c>
      <c r="BB19" s="197"/>
      <c r="BC19" s="197"/>
      <c r="BD19" s="197"/>
      <c r="BE19" s="197"/>
      <c r="BF19" s="18">
        <f t="shared" si="9"/>
        <v>8</v>
      </c>
      <c r="BG19" s="25" t="s">
        <v>56</v>
      </c>
      <c r="BH19" s="346"/>
      <c r="BI19" s="38"/>
      <c r="BJ19" s="347">
        <f>-BJ16-BJ17</f>
        <v>-401034.77114766091</v>
      </c>
      <c r="BK19" s="18">
        <f t="shared" si="10"/>
        <v>8</v>
      </c>
      <c r="BL19" s="166" t="str">
        <f>"FEDERAL INCOME TAX ( ( 1 - LINE "&amp;BK16&amp;" ) * "&amp;FIT*100&amp;"% )"</f>
        <v>FEDERAL INCOME TAX ( ( 1 - LINE 5 ) * 21% )</v>
      </c>
      <c r="BM19" s="259"/>
      <c r="BN19" s="336">
        <v>0.21</v>
      </c>
      <c r="BO19" s="380">
        <f>ROUND((BO18)*BN19,6)</f>
        <v>0.20052900000000001</v>
      </c>
      <c r="BQ19" s="18">
        <f t="shared" si="12"/>
        <v>7</v>
      </c>
      <c r="BS19" s="58"/>
      <c r="BT19" s="299"/>
      <c r="BU19" s="299"/>
      <c r="BV19" s="299" t="s">
        <v>20</v>
      </c>
      <c r="BW19" s="299" t="s">
        <v>20</v>
      </c>
      <c r="BX19" s="299"/>
      <c r="BY19" s="299"/>
      <c r="BZ19" s="299" t="s">
        <v>20</v>
      </c>
      <c r="CA19" s="18">
        <f t="shared" si="13"/>
        <v>7</v>
      </c>
      <c r="CC19" s="299"/>
      <c r="CD19" s="299"/>
      <c r="CE19" s="299"/>
      <c r="CF19" s="299"/>
      <c r="CG19" s="299"/>
      <c r="CH19" s="299"/>
      <c r="CI19" s="24"/>
      <c r="CJ19" s="24"/>
      <c r="CK19" s="18">
        <f t="shared" si="14"/>
        <v>7</v>
      </c>
      <c r="CM19" s="24"/>
      <c r="CN19" s="24"/>
      <c r="CO19" s="24"/>
      <c r="CP19" s="356"/>
    </row>
    <row r="20" spans="1:106" ht="15" customHeight="1" thickTop="1" thickBot="1" x14ac:dyDescent="0.3">
      <c r="A20" s="18">
        <f t="shared" si="0"/>
        <v>9</v>
      </c>
      <c r="B20" s="497">
        <v>43617</v>
      </c>
      <c r="C20" s="363">
        <f>'[15]G Lead Sheet'!$C$21</f>
        <v>16903786.081961848</v>
      </c>
      <c r="D20" s="363">
        <f>'[15]G Lead Sheet'!$D$21</f>
        <v>16903786.081961848</v>
      </c>
      <c r="E20" s="363">
        <f t="shared" si="15"/>
        <v>0</v>
      </c>
      <c r="F20" s="513"/>
      <c r="G20" s="55">
        <f t="shared" si="1"/>
        <v>9</v>
      </c>
      <c r="H20" s="283" t="s">
        <v>256</v>
      </c>
      <c r="I20" s="385"/>
      <c r="J20" s="44">
        <f>+'[12]3.02G'!$D$19</f>
        <v>1965.08</v>
      </c>
      <c r="K20" s="314"/>
      <c r="L20" s="110">
        <f t="shared" si="11"/>
        <v>9</v>
      </c>
      <c r="N20" s="508"/>
      <c r="O20" s="18">
        <f t="shared" si="2"/>
        <v>9</v>
      </c>
      <c r="P20" s="80"/>
      <c r="Q20" s="335"/>
      <c r="R20" s="20"/>
      <c r="S20" s="18">
        <f t="shared" si="3"/>
        <v>9</v>
      </c>
      <c r="T20" s="386" t="s">
        <v>245</v>
      </c>
      <c r="U20"/>
      <c r="V20" s="397">
        <f>'[10]Lead 3.05 '!E17</f>
        <v>-31922766.91</v>
      </c>
      <c r="W20" s="18">
        <f t="shared" si="4"/>
        <v>9</v>
      </c>
      <c r="X20" s="19"/>
      <c r="Y20" s="2"/>
      <c r="Z20" s="232"/>
      <c r="AA20" s="38"/>
      <c r="AB20" s="37">
        <f t="shared" si="5"/>
        <v>9</v>
      </c>
      <c r="AG20" s="310">
        <f>SUM(AG18:AG19)</f>
        <v>885869830.97000003</v>
      </c>
      <c r="AI20" s="18">
        <f t="shared" si="6"/>
        <v>9</v>
      </c>
      <c r="AJ20" s="19" t="s">
        <v>186</v>
      </c>
      <c r="AK20" s="44"/>
      <c r="AL20" s="353">
        <f>FIT</f>
        <v>0.21</v>
      </c>
      <c r="AM20" s="305">
        <f>ROUND(-AM18*AL20,0)</f>
        <v>-150697</v>
      </c>
      <c r="AN20" s="18">
        <v>9</v>
      </c>
      <c r="AO20" s="82" t="s">
        <v>52</v>
      </c>
      <c r="AQ20" s="27">
        <f>AQ14+AQ18</f>
        <v>163116.83119499707</v>
      </c>
      <c r="AR20" s="18">
        <f t="shared" si="7"/>
        <v>9</v>
      </c>
      <c r="AS20" s="19" t="s">
        <v>56</v>
      </c>
      <c r="AT20" s="106"/>
      <c r="AU20" s="106"/>
      <c r="AV20" s="331">
        <f>AV16-AV18</f>
        <v>6938.2279873837306</v>
      </c>
      <c r="BA20" s="55">
        <f t="shared" si="8"/>
        <v>9</v>
      </c>
      <c r="BB20" s="166" t="s">
        <v>56</v>
      </c>
      <c r="BC20" s="157"/>
      <c r="BD20" s="157"/>
      <c r="BE20" s="355">
        <f>BE17-BE18</f>
        <v>-796859.99844033679</v>
      </c>
      <c r="BF20" s="279"/>
      <c r="BG20" s="279"/>
      <c r="BH20" s="279"/>
      <c r="BI20" s="279"/>
      <c r="BJ20" s="279"/>
      <c r="BK20" s="18">
        <f t="shared" si="10"/>
        <v>9</v>
      </c>
      <c r="BL20" s="166" t="str">
        <f>"CONVERSION FACTOR ( 1 - ( LINE "&amp;BK16&amp;" + LINE "&amp;BK19&amp;" ) )"</f>
        <v>CONVERSION FACTOR ( 1 - ( LINE 5 + LINE 8 ) )</v>
      </c>
      <c r="BM20" s="259"/>
      <c r="BN20" s="381"/>
      <c r="BO20" s="537">
        <f>ROUND(1-BO19-BO16,6)</f>
        <v>0.75436999999999999</v>
      </c>
      <c r="BP20" s="260"/>
      <c r="BQ20" s="18">
        <f t="shared" si="12"/>
        <v>8</v>
      </c>
      <c r="BR20" s="19" t="s">
        <v>4</v>
      </c>
      <c r="BS20" s="58"/>
      <c r="BT20" s="24"/>
      <c r="BU20" s="24"/>
      <c r="BV20" s="24"/>
      <c r="BW20" s="24"/>
      <c r="BX20" s="24"/>
      <c r="BY20" s="24"/>
      <c r="BZ20" s="24"/>
      <c r="CA20" s="18">
        <f t="shared" si="13"/>
        <v>8</v>
      </c>
      <c r="CB20" s="19" t="s">
        <v>4</v>
      </c>
      <c r="CC20" s="24"/>
      <c r="CD20" s="24"/>
      <c r="CE20" s="24"/>
      <c r="CF20" s="24"/>
      <c r="CG20" s="24"/>
      <c r="CH20" s="24"/>
      <c r="CI20" s="24"/>
      <c r="CJ20" s="24"/>
      <c r="CK20" s="18">
        <f t="shared" si="14"/>
        <v>8</v>
      </c>
      <c r="CL20" s="82" t="s">
        <v>4</v>
      </c>
      <c r="CM20" s="24"/>
      <c r="CN20" s="24"/>
      <c r="CO20" s="24"/>
    </row>
    <row r="21" spans="1:106" ht="15" customHeight="1" thickTop="1" thickBot="1" x14ac:dyDescent="0.3">
      <c r="A21" s="18">
        <f t="shared" si="0"/>
        <v>10</v>
      </c>
      <c r="B21" s="497">
        <v>43647</v>
      </c>
      <c r="C21" s="363">
        <f>'[15]G Lead Sheet'!$C$22</f>
        <v>18762138.883925341</v>
      </c>
      <c r="D21" s="363">
        <f>'[15]G Lead Sheet'!$D$22</f>
        <v>18762138.883925341</v>
      </c>
      <c r="E21" s="363">
        <f t="shared" si="15"/>
        <v>0</v>
      </c>
      <c r="F21" s="513"/>
      <c r="G21" s="55">
        <f t="shared" si="1"/>
        <v>10</v>
      </c>
      <c r="H21" s="423"/>
      <c r="I21" s="162"/>
      <c r="J21" s="44"/>
      <c r="K21" s="314"/>
      <c r="L21" s="110">
        <f t="shared" si="11"/>
        <v>10</v>
      </c>
      <c r="M21" s="3" t="s">
        <v>317</v>
      </c>
      <c r="N21" s="506"/>
      <c r="O21" s="18">
        <f t="shared" si="2"/>
        <v>10</v>
      </c>
      <c r="P21" s="3" t="s">
        <v>116</v>
      </c>
      <c r="Q21" s="38"/>
      <c r="R21" s="302">
        <f>-R17+R19</f>
        <v>-60635848.103720382</v>
      </c>
      <c r="S21" s="18">
        <f t="shared" si="3"/>
        <v>10</v>
      </c>
      <c r="T21" s="384" t="s">
        <v>219</v>
      </c>
      <c r="U21"/>
      <c r="V21" s="397">
        <f>'[10]Lead 3.05 '!E18</f>
        <v>41072995.880000003</v>
      </c>
      <c r="W21" s="18">
        <f t="shared" si="4"/>
        <v>10</v>
      </c>
      <c r="X21" s="19" t="s">
        <v>109</v>
      </c>
      <c r="Y21" s="2"/>
      <c r="Z21" s="38"/>
      <c r="AA21" s="302">
        <f>+AA18</f>
        <v>-35572.381144999992</v>
      </c>
      <c r="AB21" s="37">
        <f t="shared" si="5"/>
        <v>10</v>
      </c>
      <c r="AC21" s="3" t="s">
        <v>257</v>
      </c>
      <c r="AG21" s="538">
        <f>AH16</f>
        <v>4.7650000000000001E-3</v>
      </c>
      <c r="AI21" s="18">
        <f t="shared" si="6"/>
        <v>10</v>
      </c>
      <c r="AJ21" s="19" t="s">
        <v>55</v>
      </c>
      <c r="AK21" s="19"/>
      <c r="AL21" s="3"/>
      <c r="AM21" s="377">
        <f>-AM18-AM20</f>
        <v>-566907.79426379455</v>
      </c>
      <c r="AN21" s="18">
        <v>10</v>
      </c>
      <c r="AQ21" s="27"/>
      <c r="AR21" s="18"/>
      <c r="AS21" s="19"/>
      <c r="AT21" s="106"/>
      <c r="AU21" s="106"/>
      <c r="AV21" s="151"/>
      <c r="BA21" s="55"/>
      <c r="BB21" s="162"/>
      <c r="BC21" s="162"/>
      <c r="BD21" s="162"/>
      <c r="BE21" s="162"/>
      <c r="BF21" s="151"/>
      <c r="BG21" s="151"/>
      <c r="BH21" s="151"/>
      <c r="BI21" s="151"/>
      <c r="BJ21" s="151"/>
      <c r="BK21" s="18"/>
      <c r="BM21" s="259"/>
      <c r="BN21" s="259"/>
      <c r="BQ21" s="18">
        <f t="shared" si="12"/>
        <v>9</v>
      </c>
      <c r="CA21" s="18">
        <f t="shared" si="13"/>
        <v>9</v>
      </c>
      <c r="CI21" s="24"/>
      <c r="CJ21" s="24"/>
      <c r="CK21" s="18">
        <f t="shared" si="14"/>
        <v>9</v>
      </c>
      <c r="CM21" s="24"/>
      <c r="CN21" s="24"/>
      <c r="CO21" s="24"/>
    </row>
    <row r="22" spans="1:106" ht="15" customHeight="1" thickTop="1" x14ac:dyDescent="0.25">
      <c r="A22" s="18">
        <f t="shared" si="0"/>
        <v>11</v>
      </c>
      <c r="B22" s="497">
        <v>43678</v>
      </c>
      <c r="C22" s="363">
        <f>'[15]G Lead Sheet'!$C$23</f>
        <v>18412442.76551868</v>
      </c>
      <c r="D22" s="363">
        <f>'[15]G Lead Sheet'!$D$23</f>
        <v>18412442.765518676</v>
      </c>
      <c r="E22" s="363">
        <f t="shared" si="15"/>
        <v>0</v>
      </c>
      <c r="F22" s="513"/>
      <c r="G22" s="55">
        <f t="shared" si="1"/>
        <v>11</v>
      </c>
      <c r="H22" s="423" t="s">
        <v>254</v>
      </c>
      <c r="I22" s="162"/>
      <c r="J22" s="44">
        <f>+'[12]3.02G'!$D$21</f>
        <v>-2186176.4699999997</v>
      </c>
      <c r="K22" s="314"/>
      <c r="L22" s="110">
        <f t="shared" si="11"/>
        <v>11</v>
      </c>
      <c r="M22" s="19" t="s">
        <v>318</v>
      </c>
      <c r="N22" s="507">
        <f>'[2]Lead G'!$C$23</f>
        <v>33388225.969999999</v>
      </c>
      <c r="O22" s="18">
        <f t="shared" si="2"/>
        <v>11</v>
      </c>
      <c r="P22" s="3" t="s">
        <v>20</v>
      </c>
      <c r="R22" s="58" t="s">
        <v>20</v>
      </c>
      <c r="S22" s="18">
        <f t="shared" si="3"/>
        <v>11</v>
      </c>
      <c r="T22" s="387" t="s">
        <v>220</v>
      </c>
      <c r="U22" s="44"/>
      <c r="V22" s="313">
        <f>'[10]Lead 3.05 '!E19</f>
        <v>294550.43</v>
      </c>
      <c r="W22" s="18">
        <f t="shared" si="4"/>
        <v>11</v>
      </c>
      <c r="Y22" s="2"/>
      <c r="Z22" s="38"/>
      <c r="AA22" s="188"/>
      <c r="AB22" s="37">
        <f t="shared" si="5"/>
        <v>11</v>
      </c>
      <c r="AC22" s="3" t="s">
        <v>258</v>
      </c>
      <c r="AG22" s="328">
        <f>AG18*AG21</f>
        <v>4221169.7445720499</v>
      </c>
      <c r="AI22" s="21"/>
      <c r="AJ22" s="21"/>
      <c r="AK22" s="21"/>
      <c r="AL22" s="21"/>
      <c r="AM22" s="21"/>
      <c r="AN22" s="18">
        <v>11</v>
      </c>
      <c r="AO22" s="3" t="s">
        <v>94</v>
      </c>
      <c r="AQ22" s="27">
        <f>-(AQ14+AQ18)</f>
        <v>-163116.83119499707</v>
      </c>
      <c r="AR22" s="19" t="s">
        <v>20</v>
      </c>
      <c r="AS22" s="19"/>
      <c r="AT22" s="106"/>
      <c r="AU22" s="106"/>
      <c r="AV22" s="106"/>
      <c r="BA22" s="55"/>
      <c r="BB22" s="162"/>
      <c r="BC22" s="169"/>
      <c r="BD22" s="170"/>
      <c r="BE22" s="170"/>
      <c r="BF22" s="106"/>
      <c r="BG22" s="106"/>
      <c r="BH22" s="106"/>
      <c r="BI22" s="106"/>
      <c r="BJ22" s="106"/>
      <c r="BK22" s="18"/>
      <c r="BM22" s="259"/>
      <c r="BN22" s="259"/>
      <c r="BP22" s="260"/>
      <c r="BQ22" s="18">
        <f t="shared" si="12"/>
        <v>10</v>
      </c>
      <c r="BR22" s="19" t="s">
        <v>88</v>
      </c>
      <c r="BS22" s="14"/>
      <c r="BT22" s="26"/>
      <c r="BU22" s="26"/>
      <c r="BV22" s="26"/>
      <c r="BW22" s="26"/>
      <c r="BX22" s="26"/>
      <c r="BY22" s="26"/>
      <c r="BZ22" s="24"/>
      <c r="CA22" s="18">
        <f t="shared" si="13"/>
        <v>10</v>
      </c>
      <c r="CB22" s="19" t="s">
        <v>88</v>
      </c>
      <c r="CC22" s="24"/>
      <c r="CD22" s="24"/>
      <c r="CE22" s="24"/>
      <c r="CF22" s="24"/>
      <c r="CG22" s="24"/>
      <c r="CH22" s="24"/>
      <c r="CI22" s="24"/>
      <c r="CJ22" s="24"/>
      <c r="CK22" s="18">
        <f t="shared" si="14"/>
        <v>10</v>
      </c>
      <c r="CL22" s="19" t="s">
        <v>88</v>
      </c>
      <c r="CM22" s="24"/>
      <c r="CN22" s="24"/>
      <c r="CO22" s="24"/>
    </row>
    <row r="23" spans="1:106" ht="15" customHeight="1" x14ac:dyDescent="0.25">
      <c r="A23" s="18">
        <f t="shared" si="0"/>
        <v>12</v>
      </c>
      <c r="B23" s="497">
        <v>43709</v>
      </c>
      <c r="C23" s="363">
        <f>'[15]G Lead Sheet'!$C$24</f>
        <v>17443564.802030977</v>
      </c>
      <c r="D23" s="363">
        <f>'[15]G Lead Sheet'!$D$24</f>
        <v>17443564.802030977</v>
      </c>
      <c r="E23" s="363">
        <f t="shared" si="15"/>
        <v>0</v>
      </c>
      <c r="F23" s="513"/>
      <c r="G23" s="55">
        <f t="shared" si="1"/>
        <v>12</v>
      </c>
      <c r="H23" s="423"/>
      <c r="I23" s="162"/>
      <c r="J23" s="44"/>
      <c r="K23" s="314"/>
      <c r="L23" s="110">
        <f t="shared" si="11"/>
        <v>12</v>
      </c>
      <c r="M23" s="19" t="s">
        <v>313</v>
      </c>
      <c r="N23" s="507">
        <f>'[2]Lead G'!$C$24</f>
        <v>42754186.710000001</v>
      </c>
      <c r="O23" s="18">
        <f t="shared" si="2"/>
        <v>12</v>
      </c>
      <c r="P23" s="3" t="s">
        <v>68</v>
      </c>
      <c r="Q23" s="147">
        <f>FIT</f>
        <v>0.21</v>
      </c>
      <c r="R23" s="44">
        <f>R21*Q23</f>
        <v>-12733528.101781279</v>
      </c>
      <c r="S23" s="18">
        <f t="shared" si="3"/>
        <v>12</v>
      </c>
      <c r="T23" s="388" t="s">
        <v>156</v>
      </c>
      <c r="U23" s="367"/>
      <c r="V23" s="368">
        <f>SUM(V12:V22)</f>
        <v>81200021.317006052</v>
      </c>
      <c r="W23" s="18">
        <f t="shared" si="4"/>
        <v>12</v>
      </c>
      <c r="X23" s="3" t="s">
        <v>186</v>
      </c>
      <c r="Y23" s="147">
        <f>FIT</f>
        <v>0.21</v>
      </c>
      <c r="Z23" s="38"/>
      <c r="AA23" s="320">
        <f>-AA21*Y23</f>
        <v>7470.2000404499977</v>
      </c>
      <c r="AB23" s="37">
        <f t="shared" si="5"/>
        <v>12</v>
      </c>
      <c r="AG23" s="27"/>
      <c r="AN23" s="18">
        <v>12</v>
      </c>
      <c r="AQ23" s="27"/>
      <c r="AR23" s="19"/>
      <c r="AS23" s="19"/>
      <c r="AT23" s="106"/>
      <c r="AU23" s="106"/>
      <c r="AV23" s="106"/>
      <c r="BA23" s="55"/>
      <c r="BB23" s="166"/>
      <c r="BC23" s="169"/>
      <c r="BD23" s="170"/>
      <c r="BE23" s="170"/>
      <c r="BF23" s="106"/>
      <c r="BG23" s="106"/>
      <c r="BH23" s="106"/>
      <c r="BI23" s="106"/>
      <c r="BJ23" s="106"/>
      <c r="BK23" s="18"/>
      <c r="BM23" s="259"/>
      <c r="BN23" s="382"/>
      <c r="BP23" s="260"/>
      <c r="BQ23" s="18">
        <f t="shared" si="12"/>
        <v>11</v>
      </c>
      <c r="BR23" s="19"/>
      <c r="BS23" s="47"/>
      <c r="BT23" s="51"/>
      <c r="BU23" s="51"/>
      <c r="BV23" s="51"/>
      <c r="BW23" s="51"/>
      <c r="BX23" s="51"/>
      <c r="BY23" s="51"/>
      <c r="BZ23" s="51"/>
      <c r="CA23" s="18">
        <f t="shared" si="13"/>
        <v>11</v>
      </c>
      <c r="CB23" s="19"/>
      <c r="CC23" s="51"/>
      <c r="CD23" s="51"/>
      <c r="CE23" s="51"/>
      <c r="CF23" s="51"/>
      <c r="CG23" s="51"/>
      <c r="CH23" s="51"/>
      <c r="CI23" s="27"/>
      <c r="CJ23" s="27"/>
      <c r="CK23" s="18">
        <f t="shared" si="14"/>
        <v>11</v>
      </c>
      <c r="CL23" s="19"/>
      <c r="CM23" s="51"/>
      <c r="CN23" s="51"/>
      <c r="CO23" s="69"/>
    </row>
    <row r="24" spans="1:106" ht="15" customHeight="1" thickBot="1" x14ac:dyDescent="0.3">
      <c r="A24" s="18">
        <f t="shared" si="0"/>
        <v>13</v>
      </c>
      <c r="B24" s="497">
        <v>43739</v>
      </c>
      <c r="C24" s="363">
        <f>'[15]G Lead Sheet'!$C$25</f>
        <v>21203063.380725853</v>
      </c>
      <c r="D24" s="363">
        <f>'[15]G Lead Sheet'!$D$25</f>
        <v>20958344.380725853</v>
      </c>
      <c r="E24" s="363">
        <f t="shared" si="15"/>
        <v>-244719</v>
      </c>
      <c r="F24" s="513"/>
      <c r="G24" s="55">
        <f t="shared" si="1"/>
        <v>13</v>
      </c>
      <c r="H24" s="423"/>
      <c r="I24" s="162"/>
      <c r="K24" s="314"/>
      <c r="L24" s="110">
        <f t="shared" si="11"/>
        <v>13</v>
      </c>
      <c r="M24" s="3" t="s">
        <v>319</v>
      </c>
      <c r="N24" s="507">
        <f>'[2]Lead G'!$C$25</f>
        <v>-49135398.689999998</v>
      </c>
      <c r="O24" s="18">
        <f t="shared" si="2"/>
        <v>13</v>
      </c>
      <c r="P24" s="3" t="s">
        <v>56</v>
      </c>
      <c r="Q24" s="38"/>
      <c r="R24" s="337">
        <f>-R23</f>
        <v>12733528.101781279</v>
      </c>
      <c r="S24" s="18">
        <f t="shared" si="3"/>
        <v>13</v>
      </c>
      <c r="T24" s="388"/>
      <c r="U24" s="366"/>
      <c r="V24" s="397"/>
      <c r="W24" s="18">
        <f t="shared" si="4"/>
        <v>13</v>
      </c>
      <c r="X24" s="3" t="s">
        <v>55</v>
      </c>
      <c r="Y24" s="2"/>
      <c r="Z24" s="38"/>
      <c r="AA24" s="321">
        <f>-AA21-AA23</f>
        <v>28102.181104549993</v>
      </c>
      <c r="AB24" s="37">
        <f t="shared" si="5"/>
        <v>13</v>
      </c>
      <c r="AC24" s="19" t="s">
        <v>95</v>
      </c>
      <c r="AG24" s="362">
        <f>'[3]Lead Sheet'!$F$27</f>
        <v>3297597.32125</v>
      </c>
      <c r="AN24" s="18">
        <v>13</v>
      </c>
      <c r="AO24" s="3" t="s">
        <v>57</v>
      </c>
      <c r="AP24" s="263">
        <f>FIT</f>
        <v>0.21</v>
      </c>
      <c r="AQ24" s="27">
        <f>AQ22*AP24</f>
        <v>-34254.534550949385</v>
      </c>
      <c r="AR24" s="19"/>
      <c r="AS24" s="19"/>
      <c r="AT24" s="106"/>
      <c r="AU24" s="106"/>
      <c r="AV24" s="106"/>
      <c r="BA24" s="171"/>
      <c r="BB24" s="230"/>
      <c r="BC24" s="264"/>
      <c r="BD24" s="264"/>
      <c r="BE24" s="264"/>
      <c r="BF24" s="106"/>
      <c r="BG24" s="106"/>
      <c r="BH24" s="106"/>
      <c r="BI24" s="106"/>
      <c r="BJ24" s="106"/>
      <c r="BK24" s="18"/>
      <c r="BM24" s="52"/>
      <c r="BN24" s="261"/>
      <c r="BO24" s="419"/>
      <c r="BP24" s="260"/>
      <c r="BQ24" s="18">
        <f t="shared" si="12"/>
        <v>12</v>
      </c>
      <c r="BR24" s="19" t="s">
        <v>89</v>
      </c>
      <c r="BS24" s="14">
        <f>+'[14]Allocated (CBR)'!$C$19</f>
        <v>290975876.38999999</v>
      </c>
      <c r="BT24" s="26">
        <f>+F39</f>
        <v>0</v>
      </c>
      <c r="BU24" s="26"/>
      <c r="BV24" s="26">
        <v>0</v>
      </c>
      <c r="BW24" s="26">
        <v>0</v>
      </c>
      <c r="BX24" s="26">
        <f>V35</f>
        <v>4635635.1000000015</v>
      </c>
      <c r="BY24" s="26"/>
      <c r="BZ24" s="26">
        <v>0</v>
      </c>
      <c r="CA24" s="18">
        <f t="shared" si="13"/>
        <v>12</v>
      </c>
      <c r="CB24" s="19" t="s">
        <v>89</v>
      </c>
      <c r="CC24" s="26"/>
      <c r="CD24" s="26"/>
      <c r="CE24" s="26">
        <v>0</v>
      </c>
      <c r="CF24" s="26">
        <v>0</v>
      </c>
      <c r="CG24" s="26">
        <v>0</v>
      </c>
      <c r="CH24" s="26"/>
      <c r="CI24" s="44">
        <f>SUM(BT24:CH24)-CA24</f>
        <v>4635635.1000000015</v>
      </c>
      <c r="CJ24" s="27">
        <f>BS24+CI24</f>
        <v>295611511.49000001</v>
      </c>
      <c r="CK24" s="18">
        <f t="shared" si="14"/>
        <v>12</v>
      </c>
      <c r="CL24" s="19" t="s">
        <v>89</v>
      </c>
      <c r="CM24" s="26">
        <f>BS24</f>
        <v>290975876.38999999</v>
      </c>
      <c r="CN24" s="26">
        <f>CI24</f>
        <v>4635635.1000000015</v>
      </c>
      <c r="CO24" s="66">
        <f>+CM24+CN24</f>
        <v>295611511.49000001</v>
      </c>
      <c r="CP24" s="66"/>
    </row>
    <row r="25" spans="1:106" ht="15" customHeight="1" thickTop="1" x14ac:dyDescent="0.25">
      <c r="A25" s="18">
        <f t="shared" si="0"/>
        <v>14</v>
      </c>
      <c r="B25" s="497">
        <v>43770</v>
      </c>
      <c r="C25" s="363">
        <f>'[15]G Lead Sheet'!$C$26</f>
        <v>19956066.381042603</v>
      </c>
      <c r="D25" s="363">
        <f>'[15]G Lead Sheet'!$D$26</f>
        <v>20068956.381042603</v>
      </c>
      <c r="E25" s="363">
        <f t="shared" si="15"/>
        <v>112890</v>
      </c>
      <c r="F25" s="513"/>
      <c r="G25" s="55">
        <f t="shared" si="1"/>
        <v>14</v>
      </c>
      <c r="H25" s="244" t="s">
        <v>225</v>
      </c>
      <c r="I25" s="162"/>
      <c r="K25" s="314">
        <f>SUM(J20:J24)</f>
        <v>-2184211.3899999997</v>
      </c>
      <c r="L25" s="110">
        <f t="shared" si="11"/>
        <v>14</v>
      </c>
      <c r="M25" s="3" t="s">
        <v>315</v>
      </c>
      <c r="N25" s="507">
        <f>'[2]Lead G'!$C$26</f>
        <v>0</v>
      </c>
      <c r="O25" s="18"/>
      <c r="R25" s="3" t="s">
        <v>20</v>
      </c>
      <c r="S25" s="18">
        <f t="shared" si="3"/>
        <v>14</v>
      </c>
      <c r="T25" s="389" t="s">
        <v>157</v>
      </c>
      <c r="U25" s="366"/>
      <c r="V25" s="398"/>
      <c r="W25" s="44"/>
      <c r="X25" s="44"/>
      <c r="Y25" s="44"/>
      <c r="Z25" s="44"/>
      <c r="AA25" s="44"/>
      <c r="AB25" s="37">
        <f t="shared" si="5"/>
        <v>14</v>
      </c>
      <c r="AC25" s="262" t="s">
        <v>51</v>
      </c>
      <c r="AH25" s="27">
        <f>ROUND(AG22-AG24,0)</f>
        <v>923572</v>
      </c>
      <c r="AN25" s="18">
        <v>14</v>
      </c>
      <c r="AP25" s="263"/>
      <c r="AQ25" s="27"/>
      <c r="AR25" s="19"/>
      <c r="AS25" s="19"/>
      <c r="AT25" s="19"/>
      <c r="AU25" s="19"/>
      <c r="AV25" s="106"/>
      <c r="BA25" s="171"/>
      <c r="BB25" s="187"/>
      <c r="BC25" s="134"/>
      <c r="BD25" s="134"/>
      <c r="BE25" s="134"/>
      <c r="BF25" s="106"/>
      <c r="BG25" s="106"/>
      <c r="BH25" s="106"/>
      <c r="BI25" s="106"/>
      <c r="BJ25" s="106"/>
      <c r="BK25" s="18"/>
      <c r="BN25" s="250"/>
      <c r="BO25" s="32"/>
      <c r="BP25" s="26"/>
      <c r="BQ25" s="18">
        <f t="shared" si="12"/>
        <v>13</v>
      </c>
      <c r="BR25" s="19"/>
      <c r="BS25" s="47"/>
      <c r="BT25" s="44"/>
      <c r="BU25" s="44"/>
      <c r="BV25" s="44"/>
      <c r="BW25" s="44"/>
      <c r="BX25" s="44"/>
      <c r="BY25" s="44"/>
      <c r="BZ25" s="45"/>
      <c r="CA25" s="18">
        <f t="shared" si="13"/>
        <v>13</v>
      </c>
      <c r="CB25" s="19"/>
      <c r="CC25" s="45"/>
      <c r="CD25" s="44"/>
      <c r="CE25" s="45"/>
      <c r="CF25" s="45"/>
      <c r="CG25" s="45"/>
      <c r="CH25" s="45"/>
      <c r="CI25" s="45"/>
      <c r="CJ25" s="45"/>
      <c r="CK25" s="18">
        <f t="shared" si="14"/>
        <v>13</v>
      </c>
      <c r="CL25" s="19"/>
      <c r="CM25" s="45"/>
      <c r="CN25" s="44"/>
      <c r="CO25" s="67"/>
    </row>
    <row r="26" spans="1:106" ht="15" customHeight="1" thickBot="1" x14ac:dyDescent="0.3">
      <c r="A26" s="18">
        <f t="shared" si="0"/>
        <v>15</v>
      </c>
      <c r="B26" s="497">
        <v>43800</v>
      </c>
      <c r="C26" s="363">
        <f>'[15]G Lead Sheet'!$C$27</f>
        <v>22605987.654994287</v>
      </c>
      <c r="D26" s="363">
        <f>'[15]G Lead Sheet'!$D$27</f>
        <v>22974867.654994287</v>
      </c>
      <c r="E26" s="363">
        <f t="shared" si="15"/>
        <v>368880</v>
      </c>
      <c r="F26" s="513"/>
      <c r="G26" s="55">
        <f t="shared" si="1"/>
        <v>15</v>
      </c>
      <c r="H26" s="162"/>
      <c r="I26" s="162"/>
      <c r="J26" s="164"/>
      <c r="K26" s="373"/>
      <c r="L26" s="110">
        <f t="shared" si="11"/>
        <v>15</v>
      </c>
      <c r="N26" s="512"/>
      <c r="O26" s="63"/>
      <c r="P26" s="3" t="s">
        <v>304</v>
      </c>
      <c r="Q26" s="148"/>
      <c r="R26" s="20"/>
      <c r="S26" s="18">
        <f t="shared" si="3"/>
        <v>15</v>
      </c>
      <c r="T26" s="384" t="s">
        <v>141</v>
      </c>
      <c r="U26" s="429">
        <f>+BO12</f>
        <v>4.7650000000000001E-3</v>
      </c>
      <c r="V26" s="369">
        <f>'[10]Lead 3.05 '!E23</f>
        <v>-380495.05592199031</v>
      </c>
      <c r="W26" s="134"/>
      <c r="X26" s="134"/>
      <c r="Y26" s="134"/>
      <c r="Z26" s="134"/>
      <c r="AA26" s="134"/>
      <c r="AB26" s="37">
        <f t="shared" si="5"/>
        <v>15</v>
      </c>
      <c r="AC26" s="265"/>
      <c r="AI26" s="3"/>
      <c r="AJ26" s="3"/>
      <c r="AK26" s="3"/>
      <c r="AL26" s="3"/>
      <c r="AM26" s="3"/>
      <c r="AN26" s="18">
        <v>15</v>
      </c>
      <c r="AO26" s="3" t="s">
        <v>55</v>
      </c>
      <c r="AQ26" s="324">
        <f>AQ22-AQ24</f>
        <v>-128862.29664404769</v>
      </c>
      <c r="AR26" s="19"/>
      <c r="AS26" s="19"/>
      <c r="AT26" s="19"/>
      <c r="AU26" s="19"/>
      <c r="AV26" s="106"/>
      <c r="BA26" s="171"/>
      <c r="BB26" s="187"/>
      <c r="BC26" s="266"/>
      <c r="BD26" s="266"/>
      <c r="BE26" s="149"/>
      <c r="BF26" s="106"/>
      <c r="BG26" s="106"/>
      <c r="BH26" s="106"/>
      <c r="BI26" s="106"/>
      <c r="BJ26" s="106"/>
      <c r="BK26" s="18"/>
      <c r="BL26" s="61"/>
      <c r="BM26" s="61"/>
      <c r="BN26" s="267"/>
      <c r="BP26" s="44"/>
      <c r="BQ26" s="18">
        <f t="shared" si="12"/>
        <v>14</v>
      </c>
      <c r="BR26" s="19" t="s">
        <v>5</v>
      </c>
      <c r="BS26" s="334">
        <f>SUM(BS24:BS25)</f>
        <v>290975876.38999999</v>
      </c>
      <c r="BT26" s="43">
        <f>SUM(BT23:BT25)</f>
        <v>0</v>
      </c>
      <c r="BU26" s="43">
        <f>SUM(BU23:BU25)</f>
        <v>0</v>
      </c>
      <c r="BV26" s="43">
        <f>SUM(BV23:BV25)</f>
        <v>0</v>
      </c>
      <c r="BW26" s="43">
        <f>SUM(BW23:BW25)</f>
        <v>0</v>
      </c>
      <c r="BX26" s="43">
        <f>SUM(BX23:BX25)</f>
        <v>4635635.1000000015</v>
      </c>
      <c r="BY26" s="43"/>
      <c r="BZ26" s="43">
        <f>SUM(BZ23:BZ25)</f>
        <v>0</v>
      </c>
      <c r="CA26" s="18">
        <f t="shared" si="13"/>
        <v>14</v>
      </c>
      <c r="CB26" s="19" t="s">
        <v>5</v>
      </c>
      <c r="CC26" s="43">
        <f>SUM(CC23:CC25)</f>
        <v>0</v>
      </c>
      <c r="CD26" s="43">
        <f>SUM(CD23:CD25)</f>
        <v>0</v>
      </c>
      <c r="CE26" s="43">
        <f>SUM(CE23:CE25)</f>
        <v>0</v>
      </c>
      <c r="CF26" s="43">
        <f>SUM(CF23:CF25)</f>
        <v>0</v>
      </c>
      <c r="CG26" s="43">
        <f>SUM(CG23:CG25)</f>
        <v>0</v>
      </c>
      <c r="CH26" s="43"/>
      <c r="CI26" s="27">
        <f>SUM(BT26:CG26)-CA26</f>
        <v>4635635.1000000015</v>
      </c>
      <c r="CJ26" s="27">
        <f>BS26+CI26</f>
        <v>295611511.49000001</v>
      </c>
      <c r="CK26" s="18">
        <f t="shared" si="14"/>
        <v>14</v>
      </c>
      <c r="CL26" s="19" t="s">
        <v>5</v>
      </c>
      <c r="CM26" s="43">
        <f>SUM(CM22:CM25)</f>
        <v>290975876.38999999</v>
      </c>
      <c r="CN26" s="43">
        <f>SUM(CN22:CN25)</f>
        <v>4635635.1000000015</v>
      </c>
      <c r="CO26" s="43">
        <f>SUM(CO22:CO25)</f>
        <v>295611511.49000001</v>
      </c>
      <c r="CP26" s="27"/>
    </row>
    <row r="27" spans="1:106" s="61" customFormat="1" ht="15" customHeight="1" thickTop="1" x14ac:dyDescent="0.25">
      <c r="A27" s="18">
        <f t="shared" si="0"/>
        <v>16</v>
      </c>
      <c r="B27" s="162"/>
      <c r="C27" s="364">
        <f>ROUND(SUM(C15:C26),0)</f>
        <v>242171813</v>
      </c>
      <c r="D27" s="364">
        <f>ROUND(SUM(D15:D26),0)</f>
        <v>242854569</v>
      </c>
      <c r="E27" s="364">
        <f>ROUND(SUM(E15:E26),0)</f>
        <v>682756</v>
      </c>
      <c r="F27" s="157"/>
      <c r="G27" s="55">
        <f t="shared" si="1"/>
        <v>16</v>
      </c>
      <c r="H27" s="162" t="s">
        <v>149</v>
      </c>
      <c r="I27" s="164"/>
      <c r="J27" s="141"/>
      <c r="K27" s="53">
        <f>SUM(K12:K26)</f>
        <v>-2161831.2599999998</v>
      </c>
      <c r="L27" s="110">
        <f t="shared" si="11"/>
        <v>16</v>
      </c>
      <c r="M27" s="61" t="s">
        <v>320</v>
      </c>
      <c r="N27" s="509">
        <f>SUM(N22:N25)</f>
        <v>27007013.99000001</v>
      </c>
      <c r="O27" s="18"/>
      <c r="P27" s="3"/>
      <c r="Q27"/>
      <c r="R27" s="20"/>
      <c r="S27" s="18">
        <f t="shared" si="3"/>
        <v>16</v>
      </c>
      <c r="T27" s="390" t="s">
        <v>158</v>
      </c>
      <c r="U27" s="429">
        <f>+BO13</f>
        <v>2E-3</v>
      </c>
      <c r="V27" s="399">
        <f>'[10]Lead 3.05 '!E24</f>
        <v>-159704.11581195818</v>
      </c>
      <c r="W27" s="44"/>
      <c r="X27" s="44"/>
      <c r="Y27" s="44"/>
      <c r="Z27" s="44"/>
      <c r="AA27" s="44"/>
      <c r="AB27" s="37">
        <f t="shared" si="5"/>
        <v>16</v>
      </c>
      <c r="AC27" s="166" t="s">
        <v>169</v>
      </c>
      <c r="AD27" s="3"/>
      <c r="AE27" s="3"/>
      <c r="AF27" s="3"/>
      <c r="AG27" s="3"/>
      <c r="AH27" s="27">
        <f>-AH25</f>
        <v>-923572</v>
      </c>
      <c r="AI27" s="152"/>
      <c r="AJ27" s="152"/>
      <c r="AK27" s="152"/>
      <c r="AL27" s="152"/>
      <c r="AM27" s="152"/>
      <c r="AN27" s="3"/>
      <c r="AO27" s="3"/>
      <c r="AP27" s="3"/>
      <c r="AQ27"/>
      <c r="AR27" s="19"/>
      <c r="AS27" s="19"/>
      <c r="AT27" s="19"/>
      <c r="AU27" s="19"/>
      <c r="AV27" s="106"/>
      <c r="AW27" s="162"/>
      <c r="AX27" s="162"/>
      <c r="AY27" s="162"/>
      <c r="AZ27" s="162"/>
      <c r="BA27" s="171"/>
      <c r="BB27" s="268"/>
      <c r="BC27" s="266"/>
      <c r="BD27" s="266"/>
      <c r="BE27" s="149"/>
      <c r="BF27" s="106"/>
      <c r="BG27" s="106"/>
      <c r="BH27" s="106"/>
      <c r="BI27" s="106"/>
      <c r="BJ27" s="106"/>
      <c r="BK27" s="18"/>
      <c r="BL27" s="19"/>
      <c r="BM27" s="3"/>
      <c r="BN27" s="269"/>
      <c r="BO27" s="3"/>
      <c r="BP27" s="44"/>
      <c r="BQ27" s="18">
        <f t="shared" si="12"/>
        <v>15</v>
      </c>
      <c r="BR27" s="98"/>
      <c r="BS27" s="39"/>
      <c r="BT27" s="39"/>
      <c r="BU27" s="39"/>
      <c r="BV27" s="39"/>
      <c r="BW27" s="39"/>
      <c r="BX27" s="39"/>
      <c r="BY27" s="39"/>
      <c r="BZ27" s="300"/>
      <c r="CA27" s="18">
        <f t="shared" si="13"/>
        <v>15</v>
      </c>
      <c r="CB27" s="98"/>
      <c r="CC27" s="300"/>
      <c r="CD27" s="64"/>
      <c r="CE27" s="300"/>
      <c r="CF27" s="300"/>
      <c r="CG27" s="300"/>
      <c r="CH27" s="300"/>
      <c r="CI27" s="39"/>
      <c r="CJ27" s="39"/>
      <c r="CK27" s="18">
        <f t="shared" si="14"/>
        <v>15</v>
      </c>
      <c r="CL27"/>
      <c r="CM27"/>
      <c r="CN27"/>
      <c r="CO27"/>
      <c r="CP27" s="27"/>
      <c r="CQ27"/>
      <c r="CR27"/>
      <c r="CS27"/>
      <c r="CT27"/>
      <c r="CU27"/>
      <c r="CV27"/>
      <c r="CW27"/>
      <c r="CX27"/>
      <c r="CY27"/>
      <c r="CZ27"/>
      <c r="DA27"/>
      <c r="DB27"/>
    </row>
    <row r="28" spans="1:106" ht="15" customHeight="1" x14ac:dyDescent="0.25">
      <c r="A28" s="18">
        <f t="shared" si="0"/>
        <v>17</v>
      </c>
      <c r="B28" s="209" t="s">
        <v>139</v>
      </c>
      <c r="C28" s="150"/>
      <c r="D28" s="150"/>
      <c r="E28" s="162"/>
      <c r="F28" s="157"/>
      <c r="G28" s="55">
        <f t="shared" si="1"/>
        <v>17</v>
      </c>
      <c r="H28" s="162"/>
      <c r="I28" s="164"/>
      <c r="J28" s="141"/>
      <c r="K28" s="53"/>
      <c r="L28" s="110">
        <f t="shared" si="11"/>
        <v>17</v>
      </c>
      <c r="N28" s="506"/>
      <c r="O28" s="18"/>
      <c r="P28" s="25"/>
      <c r="Q28"/>
      <c r="R28" s="100"/>
      <c r="S28" s="18">
        <f t="shared" si="3"/>
        <v>17</v>
      </c>
      <c r="T28" s="391" t="s">
        <v>159</v>
      </c>
      <c r="U28" s="429">
        <f>+BO14</f>
        <v>3.8336000000000002E-2</v>
      </c>
      <c r="V28" s="399">
        <f>'[10]Lead 3.05 '!E25</f>
        <v>-3061208.4918836141</v>
      </c>
      <c r="W28" s="44"/>
      <c r="X28" s="44"/>
      <c r="Y28" s="44"/>
      <c r="Z28" s="44"/>
      <c r="AA28" s="44"/>
      <c r="AB28" s="37">
        <f t="shared" si="5"/>
        <v>17</v>
      </c>
      <c r="AC28" s="164" t="s">
        <v>83</v>
      </c>
      <c r="AG28" s="147">
        <f>FIT</f>
        <v>0.21</v>
      </c>
      <c r="AH28" s="84">
        <f>ROUND(-AH25*AG28,0)</f>
        <v>-193950</v>
      </c>
      <c r="AI28" s="153"/>
      <c r="AJ28" s="153"/>
      <c r="AK28" s="153"/>
      <c r="AL28" s="153"/>
      <c r="AM28" s="153"/>
      <c r="AQ28"/>
      <c r="AR28" s="46"/>
      <c r="AS28" s="46"/>
      <c r="AT28" s="46"/>
      <c r="AU28" s="46"/>
      <c r="AV28" s="46"/>
      <c r="BA28" s="171"/>
      <c r="BB28" s="268"/>
      <c r="BC28" s="266"/>
      <c r="BD28" s="266"/>
      <c r="BE28" s="266"/>
      <c r="BF28" s="46"/>
      <c r="BG28" s="46"/>
      <c r="BH28" s="46"/>
      <c r="BI28" s="46"/>
      <c r="BJ28" s="46"/>
      <c r="BK28" s="18"/>
      <c r="BL28" s="19"/>
      <c r="BN28" s="269"/>
      <c r="BP28" s="271"/>
      <c r="BQ28" s="18">
        <f t="shared" si="12"/>
        <v>16</v>
      </c>
      <c r="BR28" s="29" t="s">
        <v>66</v>
      </c>
      <c r="BS28" s="348">
        <f>+'[14]Allocated (CBR)'!$C24</f>
        <v>6350033.2799999984</v>
      </c>
      <c r="BT28" s="26">
        <v>0</v>
      </c>
      <c r="BU28" s="26"/>
      <c r="BV28" s="26">
        <v>0</v>
      </c>
      <c r="BW28" s="26">
        <v>0</v>
      </c>
      <c r="BX28" s="26">
        <f>V36</f>
        <v>-238789.39</v>
      </c>
      <c r="BY28" s="26"/>
      <c r="BZ28" s="26">
        <v>0</v>
      </c>
      <c r="CA28" s="18">
        <f t="shared" si="13"/>
        <v>16</v>
      </c>
      <c r="CB28" s="29" t="s">
        <v>66</v>
      </c>
      <c r="CC28" s="46"/>
      <c r="CD28" s="26">
        <v>0</v>
      </c>
      <c r="CE28" s="46">
        <v>0</v>
      </c>
      <c r="CF28" s="46">
        <v>0</v>
      </c>
      <c r="CG28" s="46">
        <v>0</v>
      </c>
      <c r="CH28" s="46"/>
      <c r="CI28" s="27">
        <f t="shared" ref="CI28:CI41" si="17">SUM(BT28:CH28)-CA28</f>
        <v>-238789.39</v>
      </c>
      <c r="CJ28" s="27">
        <f t="shared" ref="CJ28:CJ41" si="18">BS28+CI28</f>
        <v>6111243.8899999987</v>
      </c>
      <c r="CK28" s="18">
        <f t="shared" si="14"/>
        <v>16</v>
      </c>
      <c r="CL28" s="82" t="s">
        <v>59</v>
      </c>
      <c r="CM28" s="26">
        <f t="shared" ref="CM28:CM41" si="19">BS28</f>
        <v>6350033.2799999984</v>
      </c>
      <c r="CN28" s="26">
        <f t="shared" ref="CN28:CN41" si="20">CI28</f>
        <v>-238789.39</v>
      </c>
      <c r="CO28" s="66">
        <f>CM28+CN28</f>
        <v>6111243.8899999987</v>
      </c>
      <c r="CP28" s="27"/>
    </row>
    <row r="29" spans="1:106" ht="15" customHeight="1" thickBot="1" x14ac:dyDescent="0.3">
      <c r="A29" s="18">
        <f t="shared" si="0"/>
        <v>18</v>
      </c>
      <c r="C29" s="395"/>
      <c r="D29" s="310"/>
      <c r="E29" s="306"/>
      <c r="F29" s="162"/>
      <c r="G29" s="55">
        <f t="shared" si="1"/>
        <v>18</v>
      </c>
      <c r="H29" s="166" t="s">
        <v>141</v>
      </c>
      <c r="I29" s="200">
        <f>+BO12</f>
        <v>4.7650000000000001E-3</v>
      </c>
      <c r="J29" s="372">
        <f>+K27*I29</f>
        <v>-10301.125953899998</v>
      </c>
      <c r="K29" s="44"/>
      <c r="L29" s="110">
        <f t="shared" si="11"/>
        <v>18</v>
      </c>
      <c r="M29" s="19" t="s">
        <v>57</v>
      </c>
      <c r="N29" s="506">
        <f>N15-N22</f>
        <v>-7184702.6039908193</v>
      </c>
      <c r="O29" s="18"/>
      <c r="Q29"/>
      <c r="R29" s="20"/>
      <c r="S29" s="18">
        <f t="shared" si="3"/>
        <v>18</v>
      </c>
      <c r="T29" s="392" t="s">
        <v>160</v>
      </c>
      <c r="V29" s="400">
        <f>SUM(V26:V28)</f>
        <v>-3601407.6636175625</v>
      </c>
      <c r="W29" s="44"/>
      <c r="X29" s="44"/>
      <c r="Y29" s="44"/>
      <c r="Z29" s="44"/>
      <c r="AA29" s="44"/>
      <c r="AB29" s="37">
        <f t="shared" si="5"/>
        <v>18</v>
      </c>
      <c r="AC29" s="270" t="s">
        <v>56</v>
      </c>
      <c r="AH29" s="333">
        <f>AH27-AH28</f>
        <v>-729622</v>
      </c>
      <c r="AI29" s="38"/>
      <c r="AJ29" s="38"/>
      <c r="AK29" s="38"/>
      <c r="AL29" s="38"/>
      <c r="AM29" s="38"/>
      <c r="AQ29"/>
      <c r="AR29" s="3"/>
      <c r="AS29" s="3"/>
      <c r="AT29" s="3"/>
      <c r="AU29" s="3"/>
      <c r="AV29" s="3"/>
      <c r="AW29" s="165"/>
      <c r="BA29" s="171"/>
      <c r="BB29" s="268"/>
      <c r="BC29" s="266"/>
      <c r="BD29" s="266"/>
      <c r="BE29" s="266"/>
      <c r="BF29" s="3"/>
      <c r="BG29" s="3"/>
      <c r="BH29" s="3"/>
      <c r="BI29" s="3"/>
      <c r="BJ29" s="3"/>
      <c r="BK29" s="18"/>
      <c r="BP29" s="26"/>
      <c r="BQ29" s="18">
        <f t="shared" si="12"/>
        <v>17</v>
      </c>
      <c r="BR29" s="19" t="s">
        <v>6</v>
      </c>
      <c r="BS29" s="520">
        <f>+'[14]Allocated (CBR)'!$C25</f>
        <v>0</v>
      </c>
      <c r="BT29" s="44"/>
      <c r="BU29" s="44"/>
      <c r="BV29" s="44"/>
      <c r="BW29" s="44"/>
      <c r="BX29" s="44"/>
      <c r="BY29" s="44"/>
      <c r="BZ29" s="44"/>
      <c r="CA29" s="18">
        <f t="shared" si="13"/>
        <v>17</v>
      </c>
      <c r="CB29" s="19" t="s">
        <v>6</v>
      </c>
      <c r="CC29" s="44"/>
      <c r="CD29" s="44"/>
      <c r="CE29" s="44"/>
      <c r="CF29" s="44"/>
      <c r="CG29" s="44"/>
      <c r="CH29" s="44"/>
      <c r="CI29" s="44">
        <f t="shared" si="17"/>
        <v>0</v>
      </c>
      <c r="CJ29" s="44">
        <f t="shared" si="18"/>
        <v>0</v>
      </c>
      <c r="CK29" s="18">
        <f t="shared" si="14"/>
        <v>17</v>
      </c>
      <c r="CL29" s="19" t="s">
        <v>6</v>
      </c>
      <c r="CM29" s="44">
        <f t="shared" si="19"/>
        <v>0</v>
      </c>
      <c r="CN29" s="15">
        <f t="shared" si="20"/>
        <v>0</v>
      </c>
      <c r="CO29" s="67">
        <f t="shared" ref="CO29:CO41" si="21">+CM29+CN29</f>
        <v>0</v>
      </c>
      <c r="CP29" s="27"/>
    </row>
    <row r="30" spans="1:106" ht="15" customHeight="1" thickTop="1" x14ac:dyDescent="0.25">
      <c r="A30" s="18">
        <f t="shared" si="0"/>
        <v>19</v>
      </c>
      <c r="B30" s="498" t="s">
        <v>306</v>
      </c>
      <c r="C30" s="498"/>
      <c r="D30" s="499">
        <v>85</v>
      </c>
      <c r="E30" s="69">
        <f>'[15]G Lead Sheet'!$E$30</f>
        <v>-491.27946000000003</v>
      </c>
      <c r="G30" s="55">
        <f t="shared" si="1"/>
        <v>19</v>
      </c>
      <c r="H30" s="166" t="s">
        <v>142</v>
      </c>
      <c r="I30" s="200">
        <f>+BO13</f>
        <v>2E-3</v>
      </c>
      <c r="J30" s="372">
        <f>+K27*I30</f>
        <v>-4323.6625199999999</v>
      </c>
      <c r="K30" s="44"/>
      <c r="L30" s="110">
        <f t="shared" si="11"/>
        <v>19</v>
      </c>
      <c r="M30" s="19" t="s">
        <v>321</v>
      </c>
      <c r="N30" s="507">
        <f>(N16+N17)-(N23+N24)</f>
        <v>7565179.1227530893</v>
      </c>
      <c r="O30" s="18"/>
      <c r="Q30"/>
      <c r="R30" s="20"/>
      <c r="S30" s="18">
        <f t="shared" si="3"/>
        <v>19</v>
      </c>
      <c r="T30" s="393"/>
      <c r="U30" s="25"/>
      <c r="V30" s="401"/>
      <c r="W30" s="274"/>
      <c r="X30" s="274"/>
      <c r="Y30" s="274"/>
      <c r="Z30" s="274"/>
      <c r="AA30" s="274"/>
      <c r="AC30" s="2"/>
      <c r="AI30" s="38"/>
      <c r="AJ30" s="38"/>
      <c r="AK30" s="38"/>
      <c r="AL30" s="38"/>
      <c r="AM30" s="38"/>
      <c r="AN30" s="61"/>
      <c r="AO30" s="61"/>
      <c r="AP30" s="61"/>
      <c r="AQ30"/>
      <c r="AR30" s="3"/>
      <c r="AS30" s="3"/>
      <c r="AT30" s="3"/>
      <c r="AU30" s="3"/>
      <c r="AV30" s="3"/>
      <c r="AW30" s="165"/>
      <c r="BA30" s="171"/>
      <c r="BB30" s="268"/>
      <c r="BC30" s="266"/>
      <c r="BD30" s="266"/>
      <c r="BE30" s="266"/>
      <c r="BF30" s="3"/>
      <c r="BG30" s="3"/>
      <c r="BH30" s="3"/>
      <c r="BI30" s="3"/>
      <c r="BJ30" s="3"/>
      <c r="BK30" s="18"/>
      <c r="BP30" s="26"/>
      <c r="BQ30" s="18">
        <f t="shared" si="12"/>
        <v>18</v>
      </c>
      <c r="BR30" s="19" t="s">
        <v>7</v>
      </c>
      <c r="BS30" s="520">
        <f>+'[14]Allocated (CBR)'!$C26</f>
        <v>56478736.410000011</v>
      </c>
      <c r="BT30" s="44"/>
      <c r="BU30" s="44"/>
      <c r="BV30" s="44"/>
      <c r="BW30" s="44"/>
      <c r="BX30" s="44"/>
      <c r="BY30" s="44"/>
      <c r="BZ30" s="44"/>
      <c r="CA30" s="18">
        <f t="shared" si="13"/>
        <v>18</v>
      </c>
      <c r="CB30" s="19" t="s">
        <v>7</v>
      </c>
      <c r="CC30" s="44"/>
      <c r="CD30" s="44"/>
      <c r="CE30" s="44"/>
      <c r="CF30" s="44"/>
      <c r="CG30" s="44"/>
      <c r="CH30" s="44"/>
      <c r="CI30" s="44">
        <f t="shared" si="17"/>
        <v>0</v>
      </c>
      <c r="CJ30" s="44">
        <f t="shared" si="18"/>
        <v>56478736.410000011</v>
      </c>
      <c r="CK30" s="18">
        <f t="shared" si="14"/>
        <v>18</v>
      </c>
      <c r="CL30" s="19" t="s">
        <v>7</v>
      </c>
      <c r="CM30" s="44">
        <f t="shared" si="19"/>
        <v>56478736.410000011</v>
      </c>
      <c r="CN30" s="15">
        <f t="shared" si="20"/>
        <v>0</v>
      </c>
      <c r="CO30" s="67">
        <f t="shared" si="21"/>
        <v>56478736.410000011</v>
      </c>
    </row>
    <row r="31" spans="1:106" ht="15" customHeight="1" x14ac:dyDescent="0.25">
      <c r="A31" s="18">
        <f t="shared" si="0"/>
        <v>20</v>
      </c>
      <c r="B31" s="498" t="s">
        <v>307</v>
      </c>
      <c r="C31" s="498"/>
      <c r="D31" s="500" t="s">
        <v>327</v>
      </c>
      <c r="E31" s="69">
        <f>'[15]G Lead Sheet'!$E$31</f>
        <v>8314.9743500000004</v>
      </c>
      <c r="G31" s="55">
        <f t="shared" si="1"/>
        <v>20</v>
      </c>
      <c r="H31" s="167" t="s">
        <v>51</v>
      </c>
      <c r="I31" s="196"/>
      <c r="J31" s="374"/>
      <c r="K31" s="53">
        <f>SUM(J29:J30)</f>
        <v>-14624.788473899998</v>
      </c>
      <c r="L31" s="110">
        <f t="shared" si="11"/>
        <v>20</v>
      </c>
      <c r="M31" s="3" t="s">
        <v>322</v>
      </c>
      <c r="N31" s="508">
        <f>N18-N25</f>
        <v>0</v>
      </c>
      <c r="O31" s="18"/>
      <c r="Q31" s="365"/>
      <c r="R31" s="20"/>
      <c r="S31" s="18">
        <f t="shared" si="3"/>
        <v>20</v>
      </c>
      <c r="T31" s="394" t="s">
        <v>161</v>
      </c>
      <c r="U31"/>
      <c r="V31" s="401"/>
      <c r="W31" s="44"/>
      <c r="X31" s="44"/>
      <c r="Y31" s="44"/>
      <c r="Z31" s="44"/>
      <c r="AA31" s="44"/>
      <c r="AI31" s="154"/>
      <c r="AJ31" s="154"/>
      <c r="AK31" s="154"/>
      <c r="AL31" s="154"/>
      <c r="AM31" s="154"/>
      <c r="AQ31"/>
      <c r="AR31" s="21"/>
      <c r="AS31" s="21"/>
      <c r="AT31" s="21"/>
      <c r="AU31" s="21"/>
      <c r="AV31" s="21"/>
      <c r="BA31" s="171"/>
      <c r="BB31" s="268"/>
      <c r="BC31" s="266"/>
      <c r="BD31" s="266"/>
      <c r="BE31" s="266"/>
      <c r="BF31" s="21"/>
      <c r="BG31" s="21"/>
      <c r="BH31" s="21"/>
      <c r="BI31" s="21"/>
      <c r="BJ31" s="21"/>
      <c r="BN31" s="52" t="s">
        <v>20</v>
      </c>
      <c r="BP31" s="26"/>
      <c r="BQ31" s="18">
        <f t="shared" si="12"/>
        <v>19</v>
      </c>
      <c r="BR31" s="60" t="s">
        <v>8</v>
      </c>
      <c r="BS31" s="520">
        <f>+'[14]Allocated (CBR)'!$C27</f>
        <v>28956684.010000002</v>
      </c>
      <c r="BT31" s="301">
        <f>+E40</f>
        <v>71</v>
      </c>
      <c r="BU31" s="301">
        <f>J29</f>
        <v>-10301.125953899998</v>
      </c>
      <c r="BV31" s="301"/>
      <c r="BW31" s="301"/>
      <c r="BX31" s="301">
        <f>V26</f>
        <v>-380495.05592199031</v>
      </c>
      <c r="BY31" s="301"/>
      <c r="BZ31" s="44">
        <f>AH25</f>
        <v>923572</v>
      </c>
      <c r="CA31" s="18">
        <f t="shared" si="13"/>
        <v>19</v>
      </c>
      <c r="CB31" s="60" t="s">
        <v>8</v>
      </c>
      <c r="CC31" s="44"/>
      <c r="CD31" s="301"/>
      <c r="CE31" s="44"/>
      <c r="CF31" s="44">
        <f>AZ12</f>
        <v>169052.95471925227</v>
      </c>
      <c r="CG31" s="44"/>
      <c r="CH31" s="44"/>
      <c r="CI31" s="44">
        <f t="shared" si="17"/>
        <v>701899.77284336195</v>
      </c>
      <c r="CJ31" s="44">
        <f t="shared" si="18"/>
        <v>29658583.782843363</v>
      </c>
      <c r="CK31" s="18">
        <f t="shared" si="14"/>
        <v>19</v>
      </c>
      <c r="CL31" s="60" t="s">
        <v>60</v>
      </c>
      <c r="CM31" s="44">
        <f t="shared" si="19"/>
        <v>28956684.010000002</v>
      </c>
      <c r="CN31" s="95">
        <f t="shared" si="20"/>
        <v>701899.77284336195</v>
      </c>
      <c r="CO31" s="67">
        <f t="shared" si="21"/>
        <v>29658583.782843363</v>
      </c>
    </row>
    <row r="32" spans="1:106" ht="15" customHeight="1" thickBot="1" x14ac:dyDescent="0.3">
      <c r="A32" s="18">
        <f t="shared" si="0"/>
        <v>21</v>
      </c>
      <c r="B32" s="498" t="s">
        <v>308</v>
      </c>
      <c r="C32" s="498"/>
      <c r="D32" s="499">
        <v>87</v>
      </c>
      <c r="E32" s="69">
        <f>'[15]G Lead Sheet'!$E$32</f>
        <v>-240.89704000000003</v>
      </c>
      <c r="F32" s="162"/>
      <c r="G32" s="55">
        <f t="shared" si="1"/>
        <v>21</v>
      </c>
      <c r="H32" s="166"/>
      <c r="I32" s="196"/>
      <c r="J32" s="188"/>
      <c r="K32" s="44"/>
      <c r="L32" s="110">
        <f t="shared" si="11"/>
        <v>21</v>
      </c>
      <c r="M32" s="19" t="s">
        <v>323</v>
      </c>
      <c r="N32" s="510">
        <f>-SUM(N29:N31)</f>
        <v>-380476.51876226999</v>
      </c>
      <c r="O32" s="18"/>
      <c r="Q32" s="148" t="s">
        <v>20</v>
      </c>
      <c r="R32" s="20"/>
      <c r="S32" s="18">
        <f t="shared" si="3"/>
        <v>21</v>
      </c>
      <c r="T32" s="384" t="s">
        <v>162</v>
      </c>
      <c r="U32"/>
      <c r="V32" s="27">
        <f>'[10]Lead 3.05 '!E29</f>
        <v>-4622872.26</v>
      </c>
      <c r="W32" s="272"/>
      <c r="X32" s="272"/>
      <c r="Y32" s="272"/>
      <c r="Z32" s="272"/>
      <c r="AA32" s="272"/>
      <c r="AI32" s="155"/>
      <c r="AJ32" s="155"/>
      <c r="AK32" s="155"/>
      <c r="AL32" s="155"/>
      <c r="AM32" s="155"/>
      <c r="AQ32"/>
      <c r="BA32" s="171"/>
      <c r="BB32" s="268"/>
      <c r="BC32" s="266"/>
      <c r="BD32" s="266"/>
      <c r="BE32" s="266"/>
      <c r="BM32" s="2"/>
      <c r="BP32" s="26"/>
      <c r="BQ32" s="18">
        <f t="shared" si="12"/>
        <v>20</v>
      </c>
      <c r="BR32" s="19" t="s">
        <v>9</v>
      </c>
      <c r="BS32" s="520">
        <f>+'[14]Allocated (CBR)'!$C28</f>
        <v>6358463.0099999998</v>
      </c>
      <c r="BT32" s="44"/>
      <c r="BU32" s="44"/>
      <c r="BV32" s="44"/>
      <c r="BW32" s="44"/>
      <c r="BX32" s="44">
        <f>V32</f>
        <v>-4622872.26</v>
      </c>
      <c r="BY32" s="44"/>
      <c r="BZ32" s="44"/>
      <c r="CA32" s="18">
        <f t="shared" si="13"/>
        <v>20</v>
      </c>
      <c r="CB32" s="19" t="s">
        <v>9</v>
      </c>
      <c r="CC32" s="44"/>
      <c r="CD32" s="44"/>
      <c r="CE32" s="44"/>
      <c r="CF32" s="44"/>
      <c r="CG32" s="44"/>
      <c r="CH32" s="44"/>
      <c r="CI32" s="44">
        <f t="shared" si="17"/>
        <v>-4622872.26</v>
      </c>
      <c r="CJ32" s="44">
        <f t="shared" si="18"/>
        <v>1735590.75</v>
      </c>
      <c r="CK32" s="18">
        <f t="shared" si="14"/>
        <v>20</v>
      </c>
      <c r="CL32" s="19" t="s">
        <v>9</v>
      </c>
      <c r="CM32" s="44">
        <f t="shared" si="19"/>
        <v>6358463.0099999998</v>
      </c>
      <c r="CN32" s="95">
        <f t="shared" si="20"/>
        <v>-4622872.26</v>
      </c>
      <c r="CO32" s="67">
        <f t="shared" si="21"/>
        <v>1735590.75</v>
      </c>
    </row>
    <row r="33" spans="1:106" s="25" customFormat="1" ht="15" customHeight="1" thickTop="1" x14ac:dyDescent="0.25">
      <c r="A33" s="18">
        <f t="shared" si="0"/>
        <v>22</v>
      </c>
      <c r="B33" s="498" t="s">
        <v>309</v>
      </c>
      <c r="C33" s="498"/>
      <c r="D33" s="500" t="s">
        <v>328</v>
      </c>
      <c r="E33" s="69">
        <f>'[15]G Lead Sheet'!$E$33</f>
        <v>3999.8261699999985</v>
      </c>
      <c r="F33" s="162"/>
      <c r="G33" s="55">
        <f t="shared" si="1"/>
        <v>22</v>
      </c>
      <c r="H33" s="166" t="s">
        <v>143</v>
      </c>
      <c r="I33" s="200">
        <f>+BO14</f>
        <v>3.8336000000000002E-2</v>
      </c>
      <c r="J33" s="141">
        <f>+K27*I33</f>
        <v>-82875.96318336</v>
      </c>
      <c r="K33" s="44"/>
      <c r="L33"/>
      <c r="M33"/>
      <c r="N33"/>
      <c r="O33" s="18"/>
      <c r="P33" s="3"/>
      <c r="Q33" s="99"/>
      <c r="R33" s="20"/>
      <c r="S33" s="18">
        <f t="shared" si="3"/>
        <v>22</v>
      </c>
      <c r="T33" s="384" t="s">
        <v>163</v>
      </c>
      <c r="U33"/>
      <c r="V33" s="310">
        <f>'[10]Lead 3.05 '!E30</f>
        <v>-15875501.359999999</v>
      </c>
      <c r="W33" s="15"/>
      <c r="X33" s="15"/>
      <c r="Y33" s="15"/>
      <c r="Z33" s="15"/>
      <c r="AA33" s="15"/>
      <c r="AB33" s="3"/>
      <c r="AC33" s="3"/>
      <c r="AD33" s="3"/>
      <c r="AE33" s="3"/>
      <c r="AF33" s="3"/>
      <c r="AG33" s="3"/>
      <c r="AH33" s="3"/>
      <c r="AI33" s="155"/>
      <c r="AJ33" s="155"/>
      <c r="AK33" s="155"/>
      <c r="AL33" s="155"/>
      <c r="AM33" s="155"/>
      <c r="AN33" s="3"/>
      <c r="AO33" s="3"/>
      <c r="AP33" s="3"/>
      <c r="AQ33"/>
      <c r="AR33" s="150"/>
      <c r="AS33" s="150"/>
      <c r="AT33" s="150"/>
      <c r="AU33" s="150"/>
      <c r="AV33" s="150"/>
      <c r="AW33" s="162"/>
      <c r="AX33" s="162"/>
      <c r="AY33" s="162"/>
      <c r="AZ33" s="162"/>
      <c r="BF33" s="150"/>
      <c r="BG33" s="150"/>
      <c r="BH33" s="150"/>
      <c r="BI33" s="150"/>
      <c r="BJ33" s="150"/>
      <c r="BK33" s="3"/>
      <c r="BL33" s="3"/>
      <c r="BM33" s="2"/>
      <c r="BN33" s="3"/>
      <c r="BO33" s="3"/>
      <c r="BP33" s="26"/>
      <c r="BQ33" s="18">
        <f t="shared" si="12"/>
        <v>21</v>
      </c>
      <c r="BR33" s="19" t="s">
        <v>10</v>
      </c>
      <c r="BS33" s="520">
        <f>+'[14]Allocated (CBR)'!$C29</f>
        <v>15875501.359999999</v>
      </c>
      <c r="BT33" s="44"/>
      <c r="BU33" s="44"/>
      <c r="BV33" s="44"/>
      <c r="BW33" s="44"/>
      <c r="BX33" s="301">
        <f>V33</f>
        <v>-15875501.359999999</v>
      </c>
      <c r="BY33" s="301"/>
      <c r="BZ33" s="301"/>
      <c r="CA33" s="18">
        <f t="shared" si="13"/>
        <v>21</v>
      </c>
      <c r="CB33" s="19" t="s">
        <v>10</v>
      </c>
      <c r="CC33" s="301"/>
      <c r="CD33" s="44"/>
      <c r="CE33" s="301"/>
      <c r="CF33" s="301"/>
      <c r="CG33" s="301"/>
      <c r="CH33" s="301"/>
      <c r="CI33" s="44">
        <f t="shared" si="17"/>
        <v>-15875501.359999999</v>
      </c>
      <c r="CJ33" s="44">
        <f t="shared" si="18"/>
        <v>0</v>
      </c>
      <c r="CK33" s="18">
        <f t="shared" si="14"/>
        <v>21</v>
      </c>
      <c r="CL33" s="19" t="s">
        <v>10</v>
      </c>
      <c r="CM33" s="44">
        <f t="shared" si="19"/>
        <v>15875501.359999999</v>
      </c>
      <c r="CN33" s="95">
        <f t="shared" si="20"/>
        <v>-15875501.359999999</v>
      </c>
      <c r="CO33" s="67">
        <f t="shared" si="21"/>
        <v>0</v>
      </c>
      <c r="CQ33"/>
      <c r="CR33"/>
      <c r="CS33"/>
      <c r="CT33"/>
      <c r="CU33"/>
      <c r="CV33"/>
      <c r="CW33"/>
      <c r="CX33"/>
      <c r="CY33"/>
      <c r="CZ33"/>
      <c r="DA33"/>
      <c r="DB33"/>
    </row>
    <row r="34" spans="1:106" ht="15" customHeight="1" x14ac:dyDescent="0.25">
      <c r="A34" s="18">
        <f t="shared" si="0"/>
        <v>23</v>
      </c>
      <c r="B34" s="501" t="s">
        <v>310</v>
      </c>
      <c r="C34" s="501"/>
      <c r="D34" s="502" t="s">
        <v>329</v>
      </c>
      <c r="E34" s="69">
        <f>'[15]G Lead Sheet'!$E$34</f>
        <v>3393.4141199999999</v>
      </c>
      <c r="G34" s="55">
        <f t="shared" si="1"/>
        <v>23</v>
      </c>
      <c r="H34" s="167"/>
      <c r="I34" s="196"/>
      <c r="J34" s="375"/>
      <c r="K34" s="44"/>
      <c r="L34"/>
      <c r="M34"/>
      <c r="N34"/>
      <c r="O34"/>
      <c r="P34"/>
      <c r="Q34"/>
      <c r="R34"/>
      <c r="S34" s="18">
        <f t="shared" si="3"/>
        <v>23</v>
      </c>
      <c r="T34" s="384" t="s">
        <v>228</v>
      </c>
      <c r="U34"/>
      <c r="V34" s="310">
        <f>'[10]Lead 3.05 '!E31</f>
        <v>-20543393</v>
      </c>
      <c r="W34" s="137"/>
      <c r="X34" s="137"/>
      <c r="Y34" s="137"/>
      <c r="Z34" s="137"/>
      <c r="AA34" s="137"/>
      <c r="AB34" s="25"/>
      <c r="AC34" s="25"/>
      <c r="AD34" s="25"/>
      <c r="AE34" s="25"/>
      <c r="AF34" s="25"/>
      <c r="AG34" s="25"/>
      <c r="AH34" s="25"/>
      <c r="AI34" s="155"/>
      <c r="AJ34" s="155"/>
      <c r="AK34" s="155"/>
      <c r="AL34" s="155"/>
      <c r="AM34" s="155"/>
      <c r="AQ34"/>
      <c r="BK34" s="83"/>
      <c r="BM34" s="2"/>
      <c r="BO34" s="129"/>
      <c r="BP34" s="26"/>
      <c r="BQ34" s="18">
        <f t="shared" si="12"/>
        <v>22</v>
      </c>
      <c r="BR34" s="19" t="s">
        <v>11</v>
      </c>
      <c r="BS34" s="520">
        <f>+'[14]Allocated (CBR)'!$C30</f>
        <v>58034052</v>
      </c>
      <c r="BT34" s="44">
        <f>+E41</f>
        <v>30</v>
      </c>
      <c r="BU34" s="44">
        <f>J30</f>
        <v>-4323.6625199999999</v>
      </c>
      <c r="BV34" s="44"/>
      <c r="BW34" s="44"/>
      <c r="BX34" s="44">
        <f>V27</f>
        <v>-159704.11581195818</v>
      </c>
      <c r="BY34" s="44">
        <f>AA21</f>
        <v>-35572.381144999992</v>
      </c>
      <c r="BZ34" s="44"/>
      <c r="CA34" s="18">
        <f t="shared" si="13"/>
        <v>22</v>
      </c>
      <c r="CB34" s="19" t="s">
        <v>11</v>
      </c>
      <c r="CC34" s="44">
        <f>AM13</f>
        <v>659260.26115185535</v>
      </c>
      <c r="CD34" s="44">
        <f>AQ18</f>
        <v>18670.881939999992</v>
      </c>
      <c r="CE34" s="44">
        <f>AV14</f>
        <v>-8782.5670726376338</v>
      </c>
      <c r="CF34" s="44"/>
      <c r="CG34" s="44">
        <f>BE15</f>
        <v>1008683.5423295402</v>
      </c>
      <c r="CH34" s="44">
        <f>BJ16</f>
        <v>507638.77114766091</v>
      </c>
      <c r="CI34" s="44">
        <f t="shared" si="17"/>
        <v>1985900.7300194607</v>
      </c>
      <c r="CJ34" s="44">
        <f t="shared" si="18"/>
        <v>60019952.730019458</v>
      </c>
      <c r="CK34" s="18">
        <f t="shared" si="14"/>
        <v>22</v>
      </c>
      <c r="CL34" s="19" t="s">
        <v>11</v>
      </c>
      <c r="CM34" s="44">
        <f t="shared" si="19"/>
        <v>58034052</v>
      </c>
      <c r="CN34" s="95">
        <f t="shared" si="20"/>
        <v>1985900.7300194607</v>
      </c>
      <c r="CO34" s="67">
        <f t="shared" si="21"/>
        <v>60019952.730019458</v>
      </c>
    </row>
    <row r="35" spans="1:106" ht="15" customHeight="1" x14ac:dyDescent="0.25">
      <c r="A35" s="18">
        <f t="shared" si="0"/>
        <v>24</v>
      </c>
      <c r="B35" s="503" t="s">
        <v>140</v>
      </c>
      <c r="C35" s="503"/>
      <c r="D35" s="504"/>
      <c r="E35" s="27"/>
      <c r="F35" s="328">
        <f>SUM(E29:E34)</f>
        <v>14976.038139999999</v>
      </c>
      <c r="G35" s="55">
        <f t="shared" si="1"/>
        <v>24</v>
      </c>
      <c r="H35" s="167" t="s">
        <v>144</v>
      </c>
      <c r="I35" s="162"/>
      <c r="J35" s="188"/>
      <c r="K35" s="189">
        <f>SUM(J33:J34)</f>
        <v>-82875.96318336</v>
      </c>
      <c r="L35"/>
      <c r="M35"/>
      <c r="N35"/>
      <c r="O35"/>
      <c r="P35"/>
      <c r="Q35"/>
      <c r="R35"/>
      <c r="S35" s="18">
        <f t="shared" si="3"/>
        <v>24</v>
      </c>
      <c r="T35" s="384" t="s">
        <v>164</v>
      </c>
      <c r="U35"/>
      <c r="V35" s="310">
        <f>'[10]Lead 3.05 '!E32</f>
        <v>4635635.1000000015</v>
      </c>
      <c r="AI35" s="155"/>
      <c r="AJ35" s="155"/>
      <c r="AK35" s="155"/>
      <c r="AL35" s="155"/>
      <c r="AM35" s="155"/>
      <c r="AQ35"/>
      <c r="AR35" s="3"/>
      <c r="AS35" s="3"/>
      <c r="AT35" s="3"/>
      <c r="AU35" s="3"/>
      <c r="AV35" s="3"/>
      <c r="BF35" s="3"/>
      <c r="BG35" s="3"/>
      <c r="BH35" s="3"/>
      <c r="BI35" s="3"/>
      <c r="BJ35" s="3"/>
      <c r="BK35" s="83"/>
      <c r="BM35" s="2"/>
      <c r="BO35" s="129"/>
      <c r="BQ35" s="18">
        <f t="shared" si="12"/>
        <v>23</v>
      </c>
      <c r="BR35" s="19" t="s">
        <v>90</v>
      </c>
      <c r="BS35" s="520">
        <f>+'[14]Allocated (CBR)'!$C31</f>
        <v>125009648.60000001</v>
      </c>
      <c r="BT35" s="44"/>
      <c r="BU35" s="44"/>
      <c r="BV35" s="44"/>
      <c r="BW35" s="44"/>
      <c r="BZ35" s="44"/>
      <c r="CA35" s="18">
        <f t="shared" si="13"/>
        <v>23</v>
      </c>
      <c r="CB35" s="19" t="s">
        <v>90</v>
      </c>
      <c r="CC35" s="44"/>
      <c r="CD35" s="44"/>
      <c r="CE35" s="44"/>
      <c r="CF35" s="44"/>
      <c r="CG35" s="44"/>
      <c r="CH35" s="44"/>
      <c r="CI35" s="44">
        <f t="shared" si="17"/>
        <v>0</v>
      </c>
      <c r="CJ35" s="44">
        <f t="shared" si="18"/>
        <v>125009648.60000001</v>
      </c>
      <c r="CK35" s="18">
        <f t="shared" si="14"/>
        <v>23</v>
      </c>
      <c r="CL35" s="19" t="s">
        <v>90</v>
      </c>
      <c r="CM35" s="44">
        <f t="shared" si="19"/>
        <v>125009648.60000001</v>
      </c>
      <c r="CN35" s="95">
        <f t="shared" si="20"/>
        <v>0</v>
      </c>
      <c r="CO35" s="67">
        <f t="shared" si="21"/>
        <v>125009648.60000001</v>
      </c>
    </row>
    <row r="36" spans="1:106" ht="15" customHeight="1" x14ac:dyDescent="0.25">
      <c r="A36" s="18">
        <f t="shared" si="0"/>
        <v>25</v>
      </c>
      <c r="B36" s="162"/>
      <c r="C36" s="162"/>
      <c r="D36" s="162"/>
      <c r="E36" s="27"/>
      <c r="F36" s="307"/>
      <c r="G36" s="55">
        <f t="shared" si="1"/>
        <v>25</v>
      </c>
      <c r="H36" s="166"/>
      <c r="I36" s="162"/>
      <c r="J36" s="162"/>
      <c r="K36" s="375"/>
      <c r="L36"/>
      <c r="M36"/>
      <c r="N36"/>
      <c r="O36"/>
      <c r="P36"/>
      <c r="Q36"/>
      <c r="R36"/>
      <c r="S36" s="18">
        <f t="shared" si="3"/>
        <v>25</v>
      </c>
      <c r="T36" s="395" t="s">
        <v>223</v>
      </c>
      <c r="U36"/>
      <c r="V36" s="310">
        <f>'[10]Lead 3.05 '!E33</f>
        <v>-238789.39</v>
      </c>
      <c r="AI36" s="155"/>
      <c r="AJ36" s="155"/>
      <c r="AK36" s="155"/>
      <c r="AL36" s="155"/>
      <c r="AM36" s="155"/>
      <c r="AN36" s="25"/>
      <c r="AO36" s="25"/>
      <c r="AP36" s="25"/>
      <c r="AQ36"/>
      <c r="AR36" s="152"/>
      <c r="AS36" s="152"/>
      <c r="AT36" s="152"/>
      <c r="AU36" s="152"/>
      <c r="AV36" s="152"/>
      <c r="BA36" s="3" t="s">
        <v>20</v>
      </c>
      <c r="BF36" s="152"/>
      <c r="BG36" s="152"/>
      <c r="BH36" s="152"/>
      <c r="BI36" s="152"/>
      <c r="BJ36" s="152"/>
      <c r="BK36" s="83"/>
      <c r="BM36" s="2"/>
      <c r="BO36" s="129"/>
      <c r="BQ36" s="18">
        <f t="shared" si="12"/>
        <v>24</v>
      </c>
      <c r="BR36" s="19" t="s">
        <v>39</v>
      </c>
      <c r="BS36" s="520">
        <f>+'[14]Allocated (CBR)'!$C32</f>
        <v>37784048.030000001</v>
      </c>
      <c r="BT36" s="44"/>
      <c r="BU36" s="44"/>
      <c r="BV36" s="44"/>
      <c r="BW36" s="44"/>
      <c r="BZ36" s="44"/>
      <c r="CA36" s="18">
        <f t="shared" si="13"/>
        <v>24</v>
      </c>
      <c r="CB36" s="19" t="s">
        <v>39</v>
      </c>
      <c r="CC36" s="44"/>
      <c r="CE36" s="44"/>
      <c r="CF36" s="44"/>
      <c r="CG36" s="44"/>
      <c r="CH36" s="44"/>
      <c r="CI36" s="44">
        <f t="shared" si="17"/>
        <v>0</v>
      </c>
      <c r="CJ36" s="44">
        <f t="shared" si="18"/>
        <v>37784048.030000001</v>
      </c>
      <c r="CK36" s="18">
        <f t="shared" si="14"/>
        <v>24</v>
      </c>
      <c r="CL36" s="19" t="s">
        <v>39</v>
      </c>
      <c r="CM36" s="44">
        <f t="shared" si="19"/>
        <v>37784048.030000001</v>
      </c>
      <c r="CN36" s="15">
        <f>CI36</f>
        <v>0</v>
      </c>
      <c r="CO36" s="67">
        <f>+CM36+CN36</f>
        <v>37784048.030000001</v>
      </c>
    </row>
    <row r="37" spans="1:106" ht="15" customHeight="1" x14ac:dyDescent="0.25">
      <c r="A37" s="18">
        <f t="shared" si="0"/>
        <v>26</v>
      </c>
      <c r="B37" s="209" t="s">
        <v>150</v>
      </c>
      <c r="G37" s="55">
        <f t="shared" si="1"/>
        <v>26</v>
      </c>
      <c r="H37" s="166" t="s">
        <v>96</v>
      </c>
      <c r="I37" s="162"/>
      <c r="J37" s="309"/>
      <c r="K37" s="189">
        <f>K27-K31-K35</f>
        <v>-2064330.5083427399</v>
      </c>
      <c r="L37"/>
      <c r="M37"/>
      <c r="N37"/>
      <c r="O37"/>
      <c r="P37"/>
      <c r="Q37"/>
      <c r="R37"/>
      <c r="S37" s="18">
        <f t="shared" si="3"/>
        <v>26</v>
      </c>
      <c r="T37" s="384" t="s">
        <v>219</v>
      </c>
      <c r="U37"/>
      <c r="V37" s="310">
        <f>'[10]Lead 3.05 '!E34</f>
        <v>-39771898.5</v>
      </c>
      <c r="W37" s="57"/>
      <c r="X37" s="57"/>
      <c r="Y37" s="57"/>
      <c r="Z37" s="57"/>
      <c r="AA37" s="57"/>
      <c r="AB37" s="3" t="s">
        <v>61</v>
      </c>
      <c r="AI37" s="155"/>
      <c r="AJ37" s="155"/>
      <c r="AK37" s="155"/>
      <c r="AL37" s="155"/>
      <c r="AM37" s="155"/>
      <c r="AQ37"/>
      <c r="AR37" s="153"/>
      <c r="AS37" s="153"/>
      <c r="AT37" s="153"/>
      <c r="AU37" s="153"/>
      <c r="AV37" s="153"/>
      <c r="BF37" s="153"/>
      <c r="BG37" s="153"/>
      <c r="BH37" s="153"/>
      <c r="BI37" s="153"/>
      <c r="BJ37" s="153"/>
      <c r="BK37" s="83"/>
      <c r="BM37" s="2"/>
      <c r="BO37" s="129"/>
      <c r="BQ37" s="18">
        <f t="shared" si="12"/>
        <v>25</v>
      </c>
      <c r="BR37" s="19" t="s">
        <v>62</v>
      </c>
      <c r="BS37" s="520">
        <f>+'[14]Allocated (CBR)'!$C33</f>
        <v>0</v>
      </c>
      <c r="BT37" s="44"/>
      <c r="BU37" s="44"/>
      <c r="BV37" s="44"/>
      <c r="BW37" s="44"/>
      <c r="BX37" s="44"/>
      <c r="BY37" s="44"/>
      <c r="BZ37" s="44"/>
      <c r="CA37" s="18">
        <f t="shared" si="13"/>
        <v>25</v>
      </c>
      <c r="CB37" s="19" t="s">
        <v>62</v>
      </c>
      <c r="CC37" s="44"/>
      <c r="CD37" s="44"/>
      <c r="CE37" s="44"/>
      <c r="CF37" s="44"/>
      <c r="CG37" s="44"/>
      <c r="CH37" s="44"/>
      <c r="CI37" s="44">
        <f t="shared" si="17"/>
        <v>0</v>
      </c>
      <c r="CJ37" s="44">
        <f t="shared" si="18"/>
        <v>0</v>
      </c>
      <c r="CK37" s="18">
        <f t="shared" si="14"/>
        <v>25</v>
      </c>
      <c r="CL37" s="19" t="s">
        <v>62</v>
      </c>
      <c r="CM37" s="44">
        <f t="shared" si="19"/>
        <v>0</v>
      </c>
      <c r="CN37" s="15">
        <f t="shared" si="20"/>
        <v>0</v>
      </c>
      <c r="CO37" s="67">
        <f t="shared" si="21"/>
        <v>0</v>
      </c>
    </row>
    <row r="38" spans="1:106" ht="15" customHeight="1" x14ac:dyDescent="0.25">
      <c r="A38" s="18">
        <f t="shared" si="0"/>
        <v>27</v>
      </c>
      <c r="B38" s="162" t="s">
        <v>151</v>
      </c>
      <c r="E38" s="304">
        <f>'[15]G Lead Sheet'!$E$38</f>
        <v>0</v>
      </c>
      <c r="F38" s="162"/>
      <c r="G38" s="55">
        <f t="shared" si="1"/>
        <v>27</v>
      </c>
      <c r="H38" s="166" t="s">
        <v>97</v>
      </c>
      <c r="I38" s="147">
        <f>FIT</f>
        <v>0.21</v>
      </c>
      <c r="J38" s="309"/>
      <c r="K38" s="53">
        <f>ROUND(K37*I38,0)</f>
        <v>-433509</v>
      </c>
      <c r="L38"/>
      <c r="M38"/>
      <c r="N38"/>
      <c r="O38"/>
      <c r="P38"/>
      <c r="Q38"/>
      <c r="R38"/>
      <c r="S38" s="18">
        <f t="shared" si="3"/>
        <v>27</v>
      </c>
      <c r="T38" s="388" t="s">
        <v>109</v>
      </c>
      <c r="U38"/>
      <c r="V38" s="370">
        <f>SUM(V32:V37)</f>
        <v>-76416819.409999996</v>
      </c>
      <c r="W38" s="57"/>
      <c r="X38" s="57"/>
      <c r="Y38" s="57"/>
      <c r="Z38" s="57"/>
      <c r="AA38" s="57"/>
      <c r="AQ38"/>
      <c r="AR38" s="38"/>
      <c r="AS38" s="38"/>
      <c r="AT38" s="38"/>
      <c r="AU38" s="38"/>
      <c r="AV38" s="38"/>
      <c r="BF38" s="38"/>
      <c r="BG38" s="38"/>
      <c r="BH38" s="38"/>
      <c r="BI38" s="38"/>
      <c r="BJ38" s="38"/>
      <c r="BK38" s="83"/>
      <c r="BM38" s="2"/>
      <c r="BO38" s="129"/>
      <c r="BQ38" s="18">
        <f t="shared" si="12"/>
        <v>26</v>
      </c>
      <c r="BR38" s="19" t="s">
        <v>12</v>
      </c>
      <c r="BS38" s="520">
        <f>+'[14]Allocated (CBR)'!$C34</f>
        <v>-2515849.7700000019</v>
      </c>
      <c r="BT38" s="44"/>
      <c r="BU38" s="44"/>
      <c r="BV38" s="44"/>
      <c r="BW38" s="44"/>
      <c r="BX38" s="44"/>
      <c r="BY38" s="44"/>
      <c r="BZ38" s="44"/>
      <c r="CA38" s="18">
        <f t="shared" si="13"/>
        <v>26</v>
      </c>
      <c r="CB38" s="19" t="s">
        <v>12</v>
      </c>
      <c r="CC38" s="44"/>
      <c r="CD38" s="44"/>
      <c r="CE38" s="44"/>
      <c r="CF38" s="44"/>
      <c r="CG38" s="44"/>
      <c r="CH38" s="44"/>
      <c r="CI38" s="44">
        <f t="shared" si="17"/>
        <v>0</v>
      </c>
      <c r="CJ38" s="44">
        <f t="shared" si="18"/>
        <v>-2515849.7700000019</v>
      </c>
      <c r="CK38" s="18">
        <f t="shared" si="14"/>
        <v>26</v>
      </c>
      <c r="CL38" s="19" t="s">
        <v>12</v>
      </c>
      <c r="CM38" s="44">
        <f t="shared" si="19"/>
        <v>-2515849.7700000019</v>
      </c>
      <c r="CN38" s="15">
        <f t="shared" si="20"/>
        <v>0</v>
      </c>
      <c r="CO38" s="67">
        <f t="shared" si="21"/>
        <v>-2515849.7700000019</v>
      </c>
    </row>
    <row r="39" spans="1:106" ht="15" customHeight="1" thickBot="1" x14ac:dyDescent="0.3">
      <c r="A39" s="18">
        <f t="shared" si="0"/>
        <v>28</v>
      </c>
      <c r="E39" s="27"/>
      <c r="F39" s="307">
        <f>SUM(E38:E38)</f>
        <v>0</v>
      </c>
      <c r="G39" s="55">
        <f t="shared" si="1"/>
        <v>28</v>
      </c>
      <c r="H39" s="166" t="s">
        <v>56</v>
      </c>
      <c r="I39" s="162"/>
      <c r="J39" s="309"/>
      <c r="K39" s="359">
        <f>K37-K38</f>
        <v>-1630821.5083427399</v>
      </c>
      <c r="L39"/>
      <c r="M39"/>
      <c r="N39"/>
      <c r="O39"/>
      <c r="P39"/>
      <c r="Q39"/>
      <c r="R39"/>
      <c r="S39" s="18">
        <f t="shared" si="3"/>
        <v>28</v>
      </c>
      <c r="T39" s="396"/>
      <c r="U39"/>
      <c r="V39" s="402"/>
      <c r="W39" s="57"/>
      <c r="X39" s="57"/>
      <c r="Y39" s="57"/>
      <c r="Z39" s="57"/>
      <c r="AA39" s="57"/>
      <c r="AQ39"/>
      <c r="AR39" s="38"/>
      <c r="AS39" s="38"/>
      <c r="AT39" s="38"/>
      <c r="AU39" s="38"/>
      <c r="AV39" s="38"/>
      <c r="BF39" s="38"/>
      <c r="BG39" s="38"/>
      <c r="BH39" s="38"/>
      <c r="BI39" s="38"/>
      <c r="BJ39" s="38"/>
      <c r="BK39" s="83"/>
      <c r="BM39" s="2"/>
      <c r="BO39" s="129"/>
      <c r="BQ39" s="18">
        <f t="shared" si="12"/>
        <v>27</v>
      </c>
      <c r="BR39" s="19" t="s">
        <v>13</v>
      </c>
      <c r="BS39" s="520">
        <f>+'[14]Allocated (CBR)'!$C36</f>
        <v>99109176.200000003</v>
      </c>
      <c r="BT39" s="44">
        <f>+E44</f>
        <v>574</v>
      </c>
      <c r="BU39" s="44">
        <f>J33</f>
        <v>-82875.96318336</v>
      </c>
      <c r="BV39" s="44"/>
      <c r="BW39" s="44"/>
      <c r="BX39" s="383">
        <f>V28+V37+V34</f>
        <v>-63376499.991883613</v>
      </c>
      <c r="BY39" s="44"/>
      <c r="BZ39" s="44"/>
      <c r="CA39" s="18">
        <f t="shared" si="13"/>
        <v>27</v>
      </c>
      <c r="CB39" s="19" t="s">
        <v>13</v>
      </c>
      <c r="CC39" s="44">
        <f>AM15</f>
        <v>58344.533111939207</v>
      </c>
      <c r="CD39" s="44">
        <f>AQ14</f>
        <v>144445.94925499707</v>
      </c>
      <c r="CE39" s="44"/>
      <c r="CF39" s="44"/>
      <c r="CG39" s="44"/>
      <c r="CH39" s="44"/>
      <c r="CI39" s="44">
        <f t="shared" si="17"/>
        <v>-63256011.472700037</v>
      </c>
      <c r="CJ39" s="44">
        <f t="shared" si="18"/>
        <v>35853164.727299966</v>
      </c>
      <c r="CK39" s="18">
        <f t="shared" si="14"/>
        <v>27</v>
      </c>
      <c r="CL39" s="19" t="s">
        <v>13</v>
      </c>
      <c r="CM39" s="44">
        <f t="shared" si="19"/>
        <v>99109176.200000003</v>
      </c>
      <c r="CN39" s="95">
        <f t="shared" si="20"/>
        <v>-63256011.472700037</v>
      </c>
      <c r="CO39" s="67">
        <f t="shared" si="21"/>
        <v>35853164.727299966</v>
      </c>
    </row>
    <row r="40" spans="1:106" ht="15" customHeight="1" thickTop="1" x14ac:dyDescent="0.25">
      <c r="A40" s="18">
        <f t="shared" si="0"/>
        <v>29</v>
      </c>
      <c r="B40" s="166" t="s">
        <v>141</v>
      </c>
      <c r="C40" s="166"/>
      <c r="D40" s="200">
        <f>+BO12</f>
        <v>4.7650000000000001E-3</v>
      </c>
      <c r="E40" s="66">
        <f>ROUND(F35*D40,0)</f>
        <v>71</v>
      </c>
      <c r="F40" s="44"/>
      <c r="G40" s="55"/>
      <c r="H40" s="199"/>
      <c r="I40" s="187"/>
      <c r="J40" s="141"/>
      <c r="K40" s="358"/>
      <c r="L40"/>
      <c r="M40"/>
      <c r="N40"/>
      <c r="O40"/>
      <c r="P40"/>
      <c r="Q40"/>
      <c r="R40"/>
      <c r="S40" s="18">
        <f t="shared" si="3"/>
        <v>29</v>
      </c>
      <c r="T40" s="387" t="s">
        <v>165</v>
      </c>
      <c r="V40" s="272">
        <f>-V23-V29-V38</f>
        <v>-1181794.2433884889</v>
      </c>
      <c r="W40" s="38"/>
      <c r="X40" s="38"/>
      <c r="Y40" s="38"/>
      <c r="Z40" s="38"/>
      <c r="AA40" s="38"/>
      <c r="AQ40"/>
      <c r="AR40" s="154"/>
      <c r="AS40" s="154"/>
      <c r="AT40" s="154"/>
      <c r="AU40" s="154"/>
      <c r="AV40" s="154"/>
      <c r="BF40" s="154"/>
      <c r="BG40" s="154"/>
      <c r="BH40" s="154"/>
      <c r="BI40" s="154"/>
      <c r="BJ40" s="154"/>
      <c r="BK40" s="83"/>
      <c r="BM40" s="2"/>
      <c r="BO40" s="129"/>
      <c r="BQ40" s="18">
        <f t="shared" si="12"/>
        <v>28</v>
      </c>
      <c r="BR40" s="19" t="s">
        <v>14</v>
      </c>
      <c r="BS40" s="520">
        <f>+'[14]Allocated (CBR)'!$C37</f>
        <v>33388225.969999999</v>
      </c>
      <c r="BT40" s="44">
        <f>+F49</f>
        <v>3003</v>
      </c>
      <c r="BU40" s="44">
        <f>K38</f>
        <v>-433509</v>
      </c>
      <c r="BV40" s="44">
        <f>N29</f>
        <v>-7184702.6039908193</v>
      </c>
      <c r="BW40" s="44">
        <f>R23</f>
        <v>-12733528.101781279</v>
      </c>
      <c r="BX40" s="44">
        <f>V41</f>
        <v>-248176.79111158266</v>
      </c>
      <c r="BY40" s="44">
        <f>AA23</f>
        <v>7470.2000404499977</v>
      </c>
      <c r="BZ40" s="44">
        <f>AH28</f>
        <v>-193950</v>
      </c>
      <c r="CA40" s="18">
        <f t="shared" si="13"/>
        <v>28</v>
      </c>
      <c r="CB40" s="19" t="s">
        <v>14</v>
      </c>
      <c r="CC40" s="44">
        <f>AM20</f>
        <v>-150697</v>
      </c>
      <c r="CD40" s="44">
        <f>AQ24</f>
        <v>-34254.534550949385</v>
      </c>
      <c r="CE40" s="44">
        <f>AV18</f>
        <v>1844.339085253903</v>
      </c>
      <c r="CF40" s="44"/>
      <c r="CG40" s="44">
        <f>BE18</f>
        <v>-211823.54388920343</v>
      </c>
      <c r="CH40" s="44">
        <f>BJ17</f>
        <v>-106604</v>
      </c>
      <c r="CI40" s="44">
        <f t="shared" si="17"/>
        <v>-21284928.036198128</v>
      </c>
      <c r="CJ40" s="44">
        <f t="shared" si="18"/>
        <v>12103297.933801871</v>
      </c>
      <c r="CK40" s="18">
        <f t="shared" si="14"/>
        <v>28</v>
      </c>
      <c r="CL40" s="19" t="s">
        <v>14</v>
      </c>
      <c r="CM40" s="44">
        <f t="shared" si="19"/>
        <v>33388225.969999999</v>
      </c>
      <c r="CN40" s="95">
        <f t="shared" si="20"/>
        <v>-21284928.036198128</v>
      </c>
      <c r="CO40" s="67">
        <f t="shared" si="21"/>
        <v>12103297.933801871</v>
      </c>
    </row>
    <row r="41" spans="1:106" ht="15" customHeight="1" x14ac:dyDescent="0.25">
      <c r="A41" s="18">
        <f t="shared" si="0"/>
        <v>30</v>
      </c>
      <c r="B41" s="166" t="s">
        <v>142</v>
      </c>
      <c r="C41" s="166"/>
      <c r="D41" s="200">
        <f>+BO13</f>
        <v>2E-3</v>
      </c>
      <c r="E41" s="68">
        <f>ROUND(F35*D41,0)</f>
        <v>30</v>
      </c>
      <c r="F41" s="44"/>
      <c r="G41" s="55"/>
      <c r="H41" s="1"/>
      <c r="I41" s="1"/>
      <c r="J41" s="1"/>
      <c r="K41" s="357"/>
      <c r="L41"/>
      <c r="M41"/>
      <c r="N41"/>
      <c r="O41"/>
      <c r="P41"/>
      <c r="Q41"/>
      <c r="R41"/>
      <c r="S41" s="18">
        <f t="shared" si="3"/>
        <v>30</v>
      </c>
      <c r="T41" s="387" t="s">
        <v>303</v>
      </c>
      <c r="V41" s="403">
        <f>V40*0.21</f>
        <v>-248176.79111158266</v>
      </c>
      <c r="W41" s="38"/>
      <c r="X41" s="38"/>
      <c r="Y41" s="38"/>
      <c r="Z41" s="38"/>
      <c r="AA41" s="38"/>
      <c r="AQ41"/>
      <c r="AR41" s="155"/>
      <c r="AS41" s="155"/>
      <c r="AT41" s="155"/>
      <c r="AU41" s="155"/>
      <c r="AV41" s="155"/>
      <c r="BF41" s="155"/>
      <c r="BG41" s="155"/>
      <c r="BH41" s="155"/>
      <c r="BI41" s="155"/>
      <c r="BJ41" s="155"/>
      <c r="BK41" s="83"/>
      <c r="BM41" s="2"/>
      <c r="BO41" s="129"/>
      <c r="BQ41" s="18">
        <f t="shared" si="12"/>
        <v>29</v>
      </c>
      <c r="BR41" s="3" t="s">
        <v>15</v>
      </c>
      <c r="BS41" s="520">
        <f>+'[14]Allocated (CBR)'!$C38</f>
        <v>-6381211.9799999967</v>
      </c>
      <c r="BT41" s="44"/>
      <c r="BU41" s="44"/>
      <c r="BV41" s="44">
        <f>N30</f>
        <v>7565179.1227530893</v>
      </c>
      <c r="BW41" s="44">
        <f>R26</f>
        <v>0</v>
      </c>
      <c r="BX41" s="44"/>
      <c r="BY41" s="44"/>
      <c r="BZ41" s="45"/>
      <c r="CA41" s="18">
        <f t="shared" si="13"/>
        <v>29</v>
      </c>
      <c r="CB41" s="3" t="s">
        <v>15</v>
      </c>
      <c r="CC41" s="53"/>
      <c r="CD41" s="47"/>
      <c r="CE41" s="53"/>
      <c r="CF41" s="45"/>
      <c r="CG41" s="53"/>
      <c r="CH41" s="53"/>
      <c r="CI41" s="44">
        <f t="shared" si="17"/>
        <v>7565179.1227530893</v>
      </c>
      <c r="CJ41" s="45">
        <f t="shared" si="18"/>
        <v>1183967.1427530926</v>
      </c>
      <c r="CK41" s="18">
        <f t="shared" si="14"/>
        <v>29</v>
      </c>
      <c r="CL41" s="3" t="s">
        <v>15</v>
      </c>
      <c r="CM41" s="45">
        <f t="shared" si="19"/>
        <v>-6381211.9799999967</v>
      </c>
      <c r="CN41" s="96">
        <f t="shared" si="20"/>
        <v>7565179.1227530893</v>
      </c>
      <c r="CO41" s="68">
        <f t="shared" si="21"/>
        <v>1183967.1427530926</v>
      </c>
    </row>
    <row r="42" spans="1:106" ht="15" customHeight="1" thickBot="1" x14ac:dyDescent="0.3">
      <c r="A42" s="18">
        <f t="shared" si="0"/>
        <v>31</v>
      </c>
      <c r="B42" s="167" t="s">
        <v>51</v>
      </c>
      <c r="C42" s="166"/>
      <c r="D42" s="308"/>
      <c r="E42" s="309"/>
      <c r="F42" s="310">
        <f>SUM(E40:E41)</f>
        <v>101</v>
      </c>
      <c r="G42" s="55"/>
      <c r="I42" s="197"/>
      <c r="J42" s="197"/>
      <c r="K42" s="197"/>
      <c r="L42"/>
      <c r="M42"/>
      <c r="N42"/>
      <c r="O42"/>
      <c r="P42"/>
      <c r="Q42"/>
      <c r="R42"/>
      <c r="S42" s="18">
        <f t="shared" si="3"/>
        <v>31</v>
      </c>
      <c r="T42" s="387" t="s">
        <v>56</v>
      </c>
      <c r="V42" s="404">
        <f>V40-V41</f>
        <v>-933617.45227690623</v>
      </c>
      <c r="W42" s="38"/>
      <c r="X42" s="38"/>
      <c r="Y42" s="38"/>
      <c r="Z42" s="38"/>
      <c r="AA42" s="38"/>
      <c r="AQ42"/>
      <c r="AR42" s="155"/>
      <c r="AS42" s="155"/>
      <c r="AT42" s="155"/>
      <c r="AU42" s="155"/>
      <c r="AV42" s="155"/>
      <c r="BF42" s="155"/>
      <c r="BG42" s="155"/>
      <c r="BH42" s="155"/>
      <c r="BI42" s="155"/>
      <c r="BJ42" s="155"/>
      <c r="BK42" s="83"/>
      <c r="BM42" s="2"/>
      <c r="BO42" s="129"/>
      <c r="BP42" s="17"/>
      <c r="BQ42" s="18">
        <f t="shared" si="12"/>
        <v>30</v>
      </c>
      <c r="BR42" s="19" t="s">
        <v>16</v>
      </c>
      <c r="BS42" s="334">
        <f>SUM(BS26:BS41)</f>
        <v>749423383.50999999</v>
      </c>
      <c r="BT42" s="43">
        <f t="shared" ref="BT42:BZ42" si="22">SUM(BT26:BT41)</f>
        <v>3678</v>
      </c>
      <c r="BU42" s="43">
        <f t="shared" si="22"/>
        <v>-531009.75165726</v>
      </c>
      <c r="BV42" s="43">
        <f t="shared" si="22"/>
        <v>380476.51876226999</v>
      </c>
      <c r="BW42" s="43">
        <f t="shared" si="22"/>
        <v>-12733528.101781279</v>
      </c>
      <c r="BX42" s="43">
        <f t="shared" si="22"/>
        <v>-80266403.864729151</v>
      </c>
      <c r="BY42" s="43">
        <f t="shared" si="22"/>
        <v>-28102.181104549993</v>
      </c>
      <c r="BZ42" s="43">
        <f t="shared" si="22"/>
        <v>729622</v>
      </c>
      <c r="CA42" s="18">
        <f t="shared" si="13"/>
        <v>30</v>
      </c>
      <c r="CB42" s="19" t="s">
        <v>16</v>
      </c>
      <c r="CC42" s="43">
        <f t="shared" ref="CC42" si="23">SUM(CC26:CC41)</f>
        <v>566907.79426379455</v>
      </c>
      <c r="CD42" s="43">
        <f t="shared" ref="CD42" si="24">SUM(CD26:CD41)</f>
        <v>128862.29664404769</v>
      </c>
      <c r="CE42" s="43">
        <f t="shared" ref="CE42" si="25">SUM(CE26:CE41)</f>
        <v>-6938.2279873837306</v>
      </c>
      <c r="CF42" s="43">
        <f t="shared" ref="CF42" si="26">SUM(CF26:CF41)</f>
        <v>169052.95471925227</v>
      </c>
      <c r="CG42" s="43">
        <f t="shared" ref="CG42" si="27">SUM(CG26:CG41)</f>
        <v>796859.99844033679</v>
      </c>
      <c r="CH42" s="43">
        <f t="shared" ref="CH42" si="28">SUM(CH26:CH41)</f>
        <v>401034.77114766091</v>
      </c>
      <c r="CI42" s="43">
        <f t="shared" ref="CI42" si="29">SUM(CI26:CI41)</f>
        <v>-90389487.793282256</v>
      </c>
      <c r="CJ42" s="43">
        <f t="shared" ref="CJ42" si="30">SUM(CJ26:CJ41)</f>
        <v>659033895.71671772</v>
      </c>
      <c r="CK42" s="18">
        <f t="shared" si="14"/>
        <v>30</v>
      </c>
      <c r="CL42" s="19" t="s">
        <v>16</v>
      </c>
      <c r="CM42" s="43">
        <f t="shared" ref="CM42" si="31">SUM(CM26:CM41)</f>
        <v>749423383.50999999</v>
      </c>
      <c r="CN42" s="43">
        <f t="shared" ref="CN42" si="32">SUM(CN26:CN41)</f>
        <v>-90389487.793282256</v>
      </c>
      <c r="CO42" s="43">
        <f t="shared" ref="CO42" si="33">SUM(CO26:CO41)</f>
        <v>659033895.71671772</v>
      </c>
    </row>
    <row r="43" spans="1:106" ht="15" customHeight="1" thickTop="1" x14ac:dyDescent="0.25">
      <c r="A43" s="18">
        <f t="shared" si="0"/>
        <v>32</v>
      </c>
      <c r="B43" s="166"/>
      <c r="C43" s="166"/>
      <c r="D43" s="311"/>
      <c r="E43" s="188"/>
      <c r="F43" s="44"/>
      <c r="G43" s="55"/>
      <c r="I43" s="197"/>
      <c r="J43" s="197"/>
      <c r="K43" s="197"/>
      <c r="L43"/>
      <c r="M43"/>
      <c r="N43"/>
      <c r="O43"/>
      <c r="P43"/>
      <c r="Q43"/>
      <c r="R43"/>
      <c r="U43" s="57"/>
      <c r="V43" s="57"/>
      <c r="W43" s="38"/>
      <c r="X43" s="38"/>
      <c r="Y43" s="38"/>
      <c r="Z43" s="38"/>
      <c r="AA43" s="38"/>
      <c r="AQ43"/>
      <c r="AR43" s="155"/>
      <c r="AS43" s="155"/>
      <c r="AT43" s="155"/>
      <c r="AU43" s="155"/>
      <c r="AV43" s="155"/>
      <c r="BF43" s="155"/>
      <c r="BG43" s="155"/>
      <c r="BH43" s="155"/>
      <c r="BI43" s="155"/>
      <c r="BJ43" s="155"/>
      <c r="BK43" s="83"/>
      <c r="BM43" s="2"/>
      <c r="BO43" s="129"/>
      <c r="BP43" s="72"/>
      <c r="BQ43" s="18">
        <f t="shared" si="12"/>
        <v>31</v>
      </c>
      <c r="BS43" s="348"/>
      <c r="BT43" s="27"/>
      <c r="BU43" s="27"/>
      <c r="BV43" s="27"/>
      <c r="BW43" s="27"/>
      <c r="BX43" s="27"/>
      <c r="BY43" s="27"/>
      <c r="BZ43" s="27"/>
      <c r="CA43" s="18">
        <f t="shared" si="13"/>
        <v>31</v>
      </c>
      <c r="CC43" s="27"/>
      <c r="CD43" s="27"/>
      <c r="CE43" s="27"/>
      <c r="CF43" s="27"/>
      <c r="CG43" s="27"/>
      <c r="CH43" s="27"/>
      <c r="CI43" s="27"/>
      <c r="CJ43" s="27"/>
      <c r="CK43" s="18">
        <f t="shared" si="14"/>
        <v>31</v>
      </c>
      <c r="CM43" s="27"/>
      <c r="CN43" s="27"/>
      <c r="CO43" s="27"/>
    </row>
    <row r="44" spans="1:106" ht="15" customHeight="1" x14ac:dyDescent="0.25">
      <c r="A44" s="18">
        <f t="shared" si="0"/>
        <v>33</v>
      </c>
      <c r="B44" s="166" t="s">
        <v>143</v>
      </c>
      <c r="C44" s="166"/>
      <c r="D44" s="200">
        <f>+BO14</f>
        <v>3.8336000000000002E-2</v>
      </c>
      <c r="E44" s="312">
        <f>ROUND(F35*D44,0)</f>
        <v>574</v>
      </c>
      <c r="F44" s="44"/>
      <c r="G44" s="55"/>
      <c r="L44"/>
      <c r="M44"/>
      <c r="N44"/>
      <c r="O44"/>
      <c r="P44"/>
      <c r="Q44"/>
      <c r="R44"/>
      <c r="U44" s="57"/>
      <c r="V44" s="260"/>
      <c r="W44" s="38"/>
      <c r="X44" s="38"/>
      <c r="Y44" s="38"/>
      <c r="Z44" s="38"/>
      <c r="AA44" s="38"/>
      <c r="AQ44"/>
      <c r="AR44" s="155"/>
      <c r="AS44" s="155"/>
      <c r="AT44" s="155"/>
      <c r="AU44" s="155"/>
      <c r="AV44" s="155"/>
      <c r="BF44" s="155"/>
      <c r="BG44" s="155"/>
      <c r="BH44" s="155"/>
      <c r="BI44" s="155"/>
      <c r="BJ44" s="155"/>
      <c r="BK44" s="83"/>
      <c r="BM44" s="2"/>
      <c r="BO44" s="129"/>
      <c r="BP44" s="4"/>
      <c r="BQ44" s="18">
        <f t="shared" si="12"/>
        <v>32</v>
      </c>
      <c r="BR44" s="19" t="s">
        <v>17</v>
      </c>
      <c r="BS44" s="14">
        <f>BS17-BS42</f>
        <v>125947308.91000009</v>
      </c>
      <c r="BT44" s="14">
        <f t="shared" ref="BT44:BZ44" si="34">BT17-BT42</f>
        <v>11298.038139999999</v>
      </c>
      <c r="BU44" s="521">
        <f t="shared" si="34"/>
        <v>-1630821.5083427397</v>
      </c>
      <c r="BV44" s="521">
        <f t="shared" si="34"/>
        <v>-380476.51876226999</v>
      </c>
      <c r="BW44" s="14">
        <f t="shared" si="34"/>
        <v>12733528.101781279</v>
      </c>
      <c r="BX44" s="14">
        <f t="shared" si="34"/>
        <v>-933617.45227688551</v>
      </c>
      <c r="BY44" s="14">
        <f t="shared" si="34"/>
        <v>28102.181104549993</v>
      </c>
      <c r="BZ44" s="14">
        <f t="shared" si="34"/>
        <v>-729622</v>
      </c>
      <c r="CA44" s="18">
        <f t="shared" si="13"/>
        <v>32</v>
      </c>
      <c r="CB44" s="19" t="s">
        <v>17</v>
      </c>
      <c r="CC44" s="14">
        <f t="shared" ref="CC44:CJ44" si="35">CC17-CC42</f>
        <v>-566907.79426379455</v>
      </c>
      <c r="CD44" s="14">
        <f t="shared" si="35"/>
        <v>-128862.29664404769</v>
      </c>
      <c r="CE44" s="14">
        <f t="shared" si="35"/>
        <v>6938.2279873837306</v>
      </c>
      <c r="CF44" s="14">
        <f t="shared" si="35"/>
        <v>-169052.95471925227</v>
      </c>
      <c r="CG44" s="14">
        <f t="shared" si="35"/>
        <v>-796859.99844033679</v>
      </c>
      <c r="CH44" s="14">
        <f t="shared" si="35"/>
        <v>-401034.77114766091</v>
      </c>
      <c r="CI44" s="14">
        <f t="shared" si="35"/>
        <v>7042611.2544162124</v>
      </c>
      <c r="CJ44" s="14">
        <f t="shared" si="35"/>
        <v>132989920.16441631</v>
      </c>
      <c r="CK44" s="18">
        <f t="shared" si="14"/>
        <v>32</v>
      </c>
      <c r="CL44" s="3" t="str">
        <f>BR44</f>
        <v>NET OPERATING INCOME</v>
      </c>
      <c r="CM44" s="14">
        <f t="shared" ref="CM44:CO44" si="36">CM17-CM42</f>
        <v>125947308.91000009</v>
      </c>
      <c r="CN44" s="14">
        <f t="shared" si="36"/>
        <v>7042611.2544162124</v>
      </c>
      <c r="CO44" s="14">
        <f t="shared" si="36"/>
        <v>132989920.16441631</v>
      </c>
    </row>
    <row r="45" spans="1:106" ht="15" customHeight="1" x14ac:dyDescent="0.25">
      <c r="A45" s="18">
        <f t="shared" si="0"/>
        <v>34</v>
      </c>
      <c r="B45" s="167" t="s">
        <v>144</v>
      </c>
      <c r="C45" s="166"/>
      <c r="D45" s="162"/>
      <c r="E45" s="188"/>
      <c r="F45" s="313">
        <f>SUM(E44:E44)</f>
        <v>574</v>
      </c>
      <c r="G45" s="55"/>
      <c r="I45" s="197"/>
      <c r="J45" s="197"/>
      <c r="K45" s="197"/>
      <c r="N45"/>
      <c r="O45"/>
      <c r="P45"/>
      <c r="Q45"/>
      <c r="R45"/>
      <c r="T45" s="57"/>
      <c r="U45" s="57"/>
      <c r="V45" s="260"/>
      <c r="W45" s="38"/>
      <c r="X45" s="38"/>
      <c r="Y45" s="38"/>
      <c r="Z45" s="38"/>
      <c r="AA45" s="38"/>
      <c r="AQ45"/>
      <c r="AR45" s="155"/>
      <c r="AS45" s="155"/>
      <c r="AT45" s="155"/>
      <c r="AU45" s="155"/>
      <c r="AV45" s="155"/>
      <c r="BF45" s="155"/>
      <c r="BG45" s="155"/>
      <c r="BH45" s="155"/>
      <c r="BI45" s="155"/>
      <c r="BJ45" s="155"/>
      <c r="BK45" s="83"/>
      <c r="BM45" s="2"/>
      <c r="BO45" s="129"/>
      <c r="BP45" s="52"/>
      <c r="BQ45" s="18">
        <f t="shared" si="12"/>
        <v>33</v>
      </c>
      <c r="BS45" s="518"/>
      <c r="BT45"/>
      <c r="BU45"/>
      <c r="BV45"/>
      <c r="BW45"/>
      <c r="BX45"/>
      <c r="BY45"/>
      <c r="BZ45"/>
      <c r="CA45" s="18">
        <f t="shared" si="13"/>
        <v>33</v>
      </c>
      <c r="CB45"/>
      <c r="CC45"/>
      <c r="CD45"/>
      <c r="CE45"/>
      <c r="CF45"/>
      <c r="CG45"/>
      <c r="CH45"/>
      <c r="CI45"/>
      <c r="CJ45"/>
      <c r="CK45" s="18">
        <f t="shared" si="14"/>
        <v>33</v>
      </c>
      <c r="CL45" s="19"/>
      <c r="CM45"/>
      <c r="CN45"/>
      <c r="CO45"/>
      <c r="CP45"/>
    </row>
    <row r="46" spans="1:106" ht="15" customHeight="1" x14ac:dyDescent="0.25">
      <c r="A46" s="18">
        <f t="shared" si="0"/>
        <v>35</v>
      </c>
      <c r="B46" s="166"/>
      <c r="C46" s="166"/>
      <c r="D46" s="162"/>
      <c r="E46" s="162"/>
      <c r="F46" s="44"/>
      <c r="G46" s="55"/>
      <c r="N46"/>
      <c r="O46"/>
      <c r="P46"/>
      <c r="Q46"/>
      <c r="R46"/>
      <c r="S46" s="38"/>
      <c r="T46" s="38"/>
      <c r="U46" s="38"/>
      <c r="V46" s="260"/>
      <c r="W46" s="57"/>
      <c r="X46" s="57"/>
      <c r="Y46" s="57"/>
      <c r="Z46" s="57"/>
      <c r="AA46" s="57"/>
      <c r="AQ46"/>
      <c r="AR46" s="155"/>
      <c r="AS46" s="155"/>
      <c r="AT46" s="155"/>
      <c r="AU46" s="155"/>
      <c r="AV46" s="155"/>
      <c r="BF46" s="155"/>
      <c r="BG46" s="155"/>
      <c r="BH46" s="155"/>
      <c r="BI46" s="155"/>
      <c r="BJ46" s="155"/>
      <c r="BK46" s="83"/>
      <c r="BM46" s="2"/>
      <c r="BO46" s="129"/>
      <c r="BP46" s="52"/>
      <c r="BQ46" s="18">
        <f t="shared" si="12"/>
        <v>34</v>
      </c>
      <c r="BR46" s="19" t="s">
        <v>18</v>
      </c>
      <c r="BS46" s="14">
        <f>BS57</f>
        <v>2173327889.0222359</v>
      </c>
      <c r="BT46" s="14">
        <f t="shared" ref="BT46:BZ46" si="37">BT57</f>
        <v>0</v>
      </c>
      <c r="BU46" s="14">
        <f t="shared" si="37"/>
        <v>0</v>
      </c>
      <c r="BV46" s="14">
        <f t="shared" si="37"/>
        <v>0</v>
      </c>
      <c r="BW46" s="14">
        <f t="shared" si="37"/>
        <v>0</v>
      </c>
      <c r="BX46" s="14">
        <f t="shared" si="37"/>
        <v>0</v>
      </c>
      <c r="BY46" s="14">
        <f t="shared" si="37"/>
        <v>0</v>
      </c>
      <c r="BZ46" s="14">
        <f t="shared" si="37"/>
        <v>0</v>
      </c>
      <c r="CA46" s="18">
        <f t="shared" si="13"/>
        <v>34</v>
      </c>
      <c r="CB46" s="19" t="s">
        <v>18</v>
      </c>
      <c r="CC46" s="14">
        <f t="shared" ref="CC46:CI46" si="38">CC57</f>
        <v>0</v>
      </c>
      <c r="CD46" s="14">
        <f t="shared" si="38"/>
        <v>0</v>
      </c>
      <c r="CE46" s="14">
        <f t="shared" si="38"/>
        <v>0</v>
      </c>
      <c r="CF46" s="14">
        <f t="shared" si="38"/>
        <v>0</v>
      </c>
      <c r="CG46" s="14">
        <f t="shared" si="38"/>
        <v>0</v>
      </c>
      <c r="CH46" s="14">
        <f t="shared" si="38"/>
        <v>0</v>
      </c>
      <c r="CI46" s="14">
        <f t="shared" si="38"/>
        <v>0</v>
      </c>
      <c r="CJ46" s="27">
        <f>BS46+CI46</f>
        <v>2173327889.0222359</v>
      </c>
      <c r="CK46" s="18">
        <f t="shared" si="14"/>
        <v>34</v>
      </c>
      <c r="CL46" s="19" t="s">
        <v>18</v>
      </c>
      <c r="CM46" s="27">
        <f>BS46</f>
        <v>2173327889.0222359</v>
      </c>
      <c r="CN46" s="102">
        <f>CI46</f>
        <v>0</v>
      </c>
      <c r="CO46" s="27">
        <f>+CM46+CN46</f>
        <v>2173327889.0222359</v>
      </c>
    </row>
    <row r="47" spans="1:106" ht="15" customHeight="1" x14ac:dyDescent="0.25">
      <c r="A47" s="18">
        <f t="shared" si="0"/>
        <v>36</v>
      </c>
      <c r="B47" s="166" t="s">
        <v>96</v>
      </c>
      <c r="C47" s="166"/>
      <c r="D47" s="162"/>
      <c r="E47" s="309"/>
      <c r="F47" s="189">
        <f>F35-F39-F42-F45</f>
        <v>14301.038139999999</v>
      </c>
      <c r="G47" s="55"/>
      <c r="H47" s="197"/>
      <c r="I47" s="197"/>
      <c r="J47" s="197"/>
      <c r="K47" s="197"/>
      <c r="N47"/>
      <c r="O47"/>
      <c r="P47"/>
      <c r="Q47"/>
      <c r="R47"/>
      <c r="S47" s="38"/>
      <c r="T47" s="38"/>
      <c r="U47" s="38"/>
      <c r="V47" s="260"/>
      <c r="W47" s="57"/>
      <c r="X47" s="57"/>
      <c r="Y47" s="57"/>
      <c r="Z47" s="57"/>
      <c r="AA47" s="57"/>
      <c r="AQ47"/>
      <c r="BK47" s="83"/>
      <c r="BM47" s="2"/>
      <c r="BO47" s="129"/>
      <c r="BP47" s="52"/>
      <c r="BQ47" s="18">
        <f t="shared" si="12"/>
        <v>35</v>
      </c>
      <c r="BS47" s="518"/>
      <c r="BT47"/>
      <c r="BU47"/>
      <c r="BV47"/>
      <c r="BW47"/>
      <c r="BX47"/>
      <c r="BY47"/>
      <c r="BZ47"/>
      <c r="CA47" s="18">
        <f t="shared" si="13"/>
        <v>35</v>
      </c>
      <c r="CB47"/>
      <c r="CC47"/>
      <c r="CD47"/>
      <c r="CE47"/>
      <c r="CF47"/>
      <c r="CG47"/>
      <c r="CH47"/>
      <c r="CI47"/>
      <c r="CJ47"/>
      <c r="CK47" s="18">
        <f t="shared" si="14"/>
        <v>35</v>
      </c>
      <c r="CM47"/>
      <c r="CN47"/>
      <c r="CO47"/>
      <c r="CP47"/>
    </row>
    <row r="48" spans="1:106" ht="15" customHeight="1" x14ac:dyDescent="0.25">
      <c r="A48" s="18">
        <f t="shared" si="0"/>
        <v>37</v>
      </c>
      <c r="B48" s="166"/>
      <c r="C48" s="166"/>
      <c r="D48" s="162"/>
      <c r="E48" s="309"/>
      <c r="F48" s="309"/>
      <c r="G48" s="55"/>
      <c r="H48" s="197"/>
      <c r="I48" s="197"/>
      <c r="J48" s="197"/>
      <c r="K48" s="197"/>
      <c r="N48"/>
      <c r="O48"/>
      <c r="P48"/>
      <c r="Q48"/>
      <c r="R48"/>
      <c r="S48" s="38"/>
      <c r="T48" s="38"/>
      <c r="U48" s="38"/>
      <c r="V48" s="38"/>
      <c r="W48" s="57"/>
      <c r="X48" s="57"/>
      <c r="Y48" s="57"/>
      <c r="Z48" s="57"/>
      <c r="AA48" s="57"/>
      <c r="AN48" s="18"/>
      <c r="AO48" s="82"/>
      <c r="AP48" s="2"/>
      <c r="AQ48"/>
      <c r="BB48" s="38"/>
      <c r="BC48" s="38"/>
      <c r="BD48" s="38"/>
      <c r="BK48" s="83"/>
      <c r="BM48" s="2"/>
      <c r="BO48" s="129"/>
      <c r="BP48" s="73"/>
      <c r="BQ48" s="18">
        <f t="shared" si="12"/>
        <v>36</v>
      </c>
      <c r="BR48" s="19" t="s">
        <v>19</v>
      </c>
      <c r="BS48" s="303">
        <f>BS44/BS46</f>
        <v>5.7951360927256515E-2</v>
      </c>
      <c r="BX48" s="49"/>
      <c r="BY48" s="49"/>
      <c r="BZ48" s="2"/>
      <c r="CA48" s="18">
        <f t="shared" si="13"/>
        <v>36</v>
      </c>
      <c r="CB48" s="19" t="s">
        <v>19</v>
      </c>
      <c r="CC48" s="2"/>
      <c r="CE48" s="2"/>
      <c r="CF48" s="2"/>
      <c r="CG48" s="2"/>
      <c r="CH48" s="2"/>
      <c r="CJ48" s="52">
        <f>CJ44/CJ46</f>
        <v>6.1191834345919842E-2</v>
      </c>
      <c r="CK48" s="18">
        <f t="shared" si="14"/>
        <v>36</v>
      </c>
      <c r="CL48" s="19" t="s">
        <v>19</v>
      </c>
      <c r="CM48" s="52">
        <f>BS48</f>
        <v>5.7951360927256515E-2</v>
      </c>
      <c r="CO48" s="52">
        <f>CO44/CO46</f>
        <v>6.1191834345919842E-2</v>
      </c>
    </row>
    <row r="49" spans="1:94" ht="15" customHeight="1" x14ac:dyDescent="0.25">
      <c r="A49" s="18">
        <f t="shared" si="0"/>
        <v>38</v>
      </c>
      <c r="B49" s="166" t="s">
        <v>97</v>
      </c>
      <c r="C49" s="166"/>
      <c r="D49" s="135">
        <f>FIT</f>
        <v>0.21</v>
      </c>
      <c r="E49" s="309"/>
      <c r="F49" s="53">
        <f>ROUND(F47*D49,0)</f>
        <v>3003</v>
      </c>
      <c r="G49" s="55"/>
      <c r="N49"/>
      <c r="O49"/>
      <c r="P49"/>
      <c r="Q49"/>
      <c r="R49"/>
      <c r="S49" s="38"/>
      <c r="T49" s="38"/>
      <c r="U49" s="38"/>
      <c r="V49" s="38"/>
      <c r="W49" s="57"/>
      <c r="X49" s="57"/>
      <c r="Y49" s="57"/>
      <c r="Z49" s="57"/>
      <c r="AA49" s="57"/>
      <c r="AQ49"/>
      <c r="BB49" s="38"/>
      <c r="BC49" s="38"/>
      <c r="BD49" s="38"/>
      <c r="BK49" s="83"/>
      <c r="BM49" s="2"/>
      <c r="BO49" s="129"/>
      <c r="BQ49" s="18">
        <f t="shared" si="12"/>
        <v>37</v>
      </c>
      <c r="CA49" s="18">
        <f t="shared" si="13"/>
        <v>37</v>
      </c>
      <c r="CK49" s="18">
        <f t="shared" si="14"/>
        <v>37</v>
      </c>
      <c r="CM49" s="70"/>
      <c r="CO49" s="70"/>
    </row>
    <row r="50" spans="1:94" ht="15" customHeight="1" thickBot="1" x14ac:dyDescent="0.3">
      <c r="A50" s="18">
        <f t="shared" si="0"/>
        <v>39</v>
      </c>
      <c r="B50" s="166" t="s">
        <v>56</v>
      </c>
      <c r="C50" s="166"/>
      <c r="D50" s="162"/>
      <c r="E50" s="309"/>
      <c r="F50" s="359">
        <f>ROUND(-F49+F47,0)</f>
        <v>11298</v>
      </c>
      <c r="G50" s="55"/>
      <c r="H50" s="197"/>
      <c r="I50" s="197"/>
      <c r="J50" s="197"/>
      <c r="K50" s="197"/>
      <c r="O50" s="18"/>
      <c r="S50" s="38"/>
      <c r="T50" s="38"/>
      <c r="U50" s="38"/>
      <c r="V50" s="38"/>
      <c r="W50" s="57"/>
      <c r="X50" s="57"/>
      <c r="Y50" s="57"/>
      <c r="Z50" s="57"/>
      <c r="AA50" s="57"/>
      <c r="AN50" s="18"/>
      <c r="AQ50"/>
      <c r="BB50" s="38"/>
      <c r="BC50" s="38"/>
      <c r="BD50" s="38"/>
      <c r="BK50" s="83"/>
      <c r="BM50" s="2"/>
      <c r="BO50" s="129"/>
      <c r="BQ50" s="18">
        <f t="shared" si="12"/>
        <v>38</v>
      </c>
      <c r="BR50" s="3" t="s">
        <v>69</v>
      </c>
      <c r="BS50" s="17"/>
      <c r="BZ50" s="2"/>
      <c r="CA50" s="18">
        <f t="shared" si="13"/>
        <v>38</v>
      </c>
      <c r="CB50" s="3" t="s">
        <v>69</v>
      </c>
      <c r="CC50" s="2"/>
      <c r="CE50" s="2"/>
      <c r="CF50" s="2"/>
      <c r="CG50" s="2"/>
      <c r="CH50" s="2"/>
      <c r="CJ50" s="24"/>
      <c r="CK50" s="18">
        <f t="shared" si="14"/>
        <v>38</v>
      </c>
      <c r="CL50" s="3" t="s">
        <v>69</v>
      </c>
    </row>
    <row r="51" spans="1:94" ht="15" customHeight="1" thickTop="1" x14ac:dyDescent="0.25">
      <c r="A51" s="18"/>
      <c r="F51" s="53"/>
      <c r="G51" s="55"/>
      <c r="H51" s="197"/>
      <c r="I51" s="197"/>
      <c r="J51" s="197"/>
      <c r="K51" s="197"/>
      <c r="O51" s="2"/>
      <c r="Q51" s="99"/>
      <c r="R51" s="20"/>
      <c r="S51" s="38"/>
      <c r="T51" s="38"/>
      <c r="U51" s="38"/>
      <c r="V51" s="38"/>
      <c r="W51" s="57"/>
      <c r="X51" s="57"/>
      <c r="Y51" s="57"/>
      <c r="Z51" s="57"/>
      <c r="AA51" s="57"/>
      <c r="AJ51" s="156"/>
      <c r="AN51" s="18"/>
      <c r="AQ51"/>
      <c r="BK51" s="83"/>
      <c r="BM51" s="2"/>
      <c r="BO51" s="129"/>
      <c r="BP51" s="48"/>
      <c r="BQ51" s="18">
        <f t="shared" si="12"/>
        <v>39</v>
      </c>
      <c r="BR51" s="103" t="s">
        <v>70</v>
      </c>
      <c r="BS51" s="14">
        <f>'[16]GRB AMA'!$C$19</f>
        <v>4422331116.180644</v>
      </c>
      <c r="BT51" s="6"/>
      <c r="BU51" s="6">
        <v>0</v>
      </c>
      <c r="BV51" s="6">
        <v>0</v>
      </c>
      <c r="BW51" s="6">
        <v>0</v>
      </c>
      <c r="BX51" s="6"/>
      <c r="BY51" s="6"/>
      <c r="BZ51" s="6">
        <v>0</v>
      </c>
      <c r="CA51" s="18">
        <f t="shared" si="13"/>
        <v>39</v>
      </c>
      <c r="CB51" s="103" t="s">
        <v>70</v>
      </c>
      <c r="CC51" s="6">
        <v>0</v>
      </c>
      <c r="CD51" s="6">
        <v>0</v>
      </c>
      <c r="CE51" s="6">
        <v>0</v>
      </c>
      <c r="CF51" s="6">
        <v>0</v>
      </c>
      <c r="CG51" s="6">
        <v>0</v>
      </c>
      <c r="CH51" s="6"/>
      <c r="CI51" s="27">
        <f>SUM(BT51:CH51)-CA51</f>
        <v>0</v>
      </c>
      <c r="CJ51" s="6">
        <f>+CI51+BS51</f>
        <v>4422331116.180644</v>
      </c>
      <c r="CK51" s="18">
        <f t="shared" si="14"/>
        <v>39</v>
      </c>
      <c r="CL51" s="103" t="s">
        <v>70</v>
      </c>
      <c r="CM51" s="14">
        <f>+BS51</f>
        <v>4422331116.180644</v>
      </c>
      <c r="CN51" s="7">
        <f>+CI51</f>
        <v>0</v>
      </c>
      <c r="CO51" s="6">
        <f>+CN51+CM51</f>
        <v>4422331116.180644</v>
      </c>
    </row>
    <row r="52" spans="1:94" ht="15" customHeight="1" x14ac:dyDescent="0.25">
      <c r="A52" s="18"/>
      <c r="B52" s="167"/>
      <c r="G52" s="55"/>
      <c r="O52" s="2"/>
      <c r="Q52" s="99"/>
      <c r="R52" s="20"/>
      <c r="T52" s="57"/>
      <c r="U52" s="57"/>
      <c r="V52" s="57"/>
      <c r="W52" s="57"/>
      <c r="X52" s="57"/>
      <c r="Y52" s="57"/>
      <c r="Z52" s="57"/>
      <c r="AA52" s="57"/>
      <c r="AN52" s="18"/>
      <c r="AQ52"/>
      <c r="BK52" s="83"/>
      <c r="BM52" s="2"/>
      <c r="BO52" s="129"/>
      <c r="BP52" s="16"/>
      <c r="BQ52" s="18">
        <f t="shared" si="12"/>
        <v>40</v>
      </c>
      <c r="BR52" s="10" t="s">
        <v>71</v>
      </c>
      <c r="BS52" s="47">
        <f>'[16]GRB AMA'!$C$21+'[16]GRB AMA'!$C$22</f>
        <v>-1680098690.2645206</v>
      </c>
      <c r="BT52" s="8"/>
      <c r="BU52" s="8"/>
      <c r="BV52" s="8"/>
      <c r="BW52" s="8"/>
      <c r="BX52" s="8"/>
      <c r="BY52" s="8"/>
      <c r="BZ52" s="8"/>
      <c r="CA52" s="18">
        <f t="shared" si="13"/>
        <v>40</v>
      </c>
      <c r="CB52" s="10" t="s">
        <v>71</v>
      </c>
      <c r="CC52" s="8"/>
      <c r="CD52" s="8"/>
      <c r="CE52" s="8"/>
      <c r="CF52" s="8"/>
      <c r="CG52" s="8"/>
      <c r="CH52" s="8"/>
      <c r="CI52" s="142">
        <f>SUM(BT52:CH52)-CA52</f>
        <v>0</v>
      </c>
      <c r="CJ52" s="8">
        <f>+CI52+BS52</f>
        <v>-1680098690.2645206</v>
      </c>
      <c r="CK52" s="18">
        <f t="shared" si="14"/>
        <v>40</v>
      </c>
      <c r="CL52" s="10" t="s">
        <v>71</v>
      </c>
      <c r="CM52" s="47">
        <f>+BS52</f>
        <v>-1680098690.2645206</v>
      </c>
      <c r="CN52" s="8">
        <f>+CI52</f>
        <v>0</v>
      </c>
      <c r="CO52" s="8">
        <f>+CN52+CM52</f>
        <v>-1680098690.2645206</v>
      </c>
    </row>
    <row r="53" spans="1:94" ht="15" customHeight="1" x14ac:dyDescent="0.25">
      <c r="A53" s="18"/>
      <c r="B53" s="167"/>
      <c r="G53" s="171"/>
      <c r="P53" s="2"/>
      <c r="Q53" s="2"/>
      <c r="R53" s="2"/>
      <c r="T53" s="57"/>
      <c r="U53" s="57"/>
      <c r="V53" s="57"/>
      <c r="W53" s="57"/>
      <c r="X53" s="57"/>
      <c r="Y53" s="57"/>
      <c r="Z53" s="57"/>
      <c r="AA53" s="57"/>
      <c r="AQ53"/>
      <c r="BK53" s="83"/>
      <c r="BM53" s="2"/>
      <c r="BO53" s="129"/>
      <c r="BP53" s="16"/>
      <c r="BQ53" s="18">
        <f t="shared" si="12"/>
        <v>41</v>
      </c>
      <c r="BR53" s="10" t="s">
        <v>72</v>
      </c>
      <c r="BS53" s="47">
        <f>'[16]GRB AMA'!$C$25+'[16]GRB AMA'!$C$26</f>
        <v>-600922057.64842606</v>
      </c>
      <c r="BT53" s="9"/>
      <c r="BU53" s="9"/>
      <c r="BV53" s="9"/>
      <c r="BW53" s="9"/>
      <c r="BX53" s="9"/>
      <c r="BY53" s="9"/>
      <c r="BZ53" s="9"/>
      <c r="CA53" s="18">
        <f t="shared" si="13"/>
        <v>41</v>
      </c>
      <c r="CB53" s="10" t="s">
        <v>72</v>
      </c>
      <c r="CC53" s="9"/>
      <c r="CD53" s="9"/>
      <c r="CE53" s="9"/>
      <c r="CF53" s="9"/>
      <c r="CG53" s="9"/>
      <c r="CH53" s="9"/>
      <c r="CI53" s="142">
        <f>SUM(BT53:CH53)-CA53</f>
        <v>0</v>
      </c>
      <c r="CJ53" s="8">
        <f>+CI53+BS53</f>
        <v>-600922057.64842606</v>
      </c>
      <c r="CK53" s="18">
        <f t="shared" si="14"/>
        <v>41</v>
      </c>
      <c r="CL53" s="10" t="s">
        <v>72</v>
      </c>
      <c r="CM53" s="144">
        <f>+BS53</f>
        <v>-600922057.64842606</v>
      </c>
      <c r="CN53" s="9">
        <f>+CI53</f>
        <v>0</v>
      </c>
      <c r="CO53" s="9">
        <f>+CN53+CM53</f>
        <v>-600922057.64842606</v>
      </c>
    </row>
    <row r="54" spans="1:94" ht="15" customHeight="1" x14ac:dyDescent="0.25">
      <c r="A54" s="18"/>
      <c r="B54" s="167"/>
      <c r="G54" s="171"/>
      <c r="H54" s="197"/>
      <c r="I54" s="197"/>
      <c r="J54" s="197"/>
      <c r="K54" s="197"/>
      <c r="L54" s="2"/>
      <c r="P54" s="2"/>
      <c r="Q54" s="2"/>
      <c r="R54" s="2"/>
      <c r="T54" s="57"/>
      <c r="U54" s="57"/>
      <c r="V54" s="57"/>
      <c r="W54" s="57"/>
      <c r="X54" s="57"/>
      <c r="Y54" s="57"/>
      <c r="Z54" s="57"/>
      <c r="AA54" s="57"/>
      <c r="AN54" s="18"/>
      <c r="AQ54"/>
      <c r="BK54" s="18"/>
      <c r="BM54" s="73"/>
      <c r="BN54" s="52"/>
      <c r="BO54" s="73"/>
      <c r="BP54" s="16"/>
      <c r="BQ54" s="18">
        <f t="shared" si="12"/>
        <v>42</v>
      </c>
      <c r="BR54" s="10" t="s">
        <v>77</v>
      </c>
      <c r="BS54" s="47">
        <f>'[16]GRB AMA'!$C$23+'[16]GRB AMA'!$C$27</f>
        <v>-23302131.281321667</v>
      </c>
      <c r="BT54" s="11"/>
      <c r="BU54" s="11"/>
      <c r="BV54" s="11"/>
      <c r="BW54" s="11"/>
      <c r="BX54" s="11"/>
      <c r="BY54" s="11"/>
      <c r="BZ54" s="11"/>
      <c r="CA54" s="18">
        <f t="shared" si="13"/>
        <v>42</v>
      </c>
      <c r="CB54" s="10" t="s">
        <v>77</v>
      </c>
      <c r="CC54" s="11"/>
      <c r="CD54" s="11"/>
      <c r="CE54" s="11"/>
      <c r="CF54" s="11"/>
      <c r="CG54" s="11"/>
      <c r="CH54" s="11"/>
      <c r="CI54" s="143">
        <f>SUM(BT54:CH54)-CA54</f>
        <v>0</v>
      </c>
      <c r="CJ54" s="11">
        <f>+CI54+BS54</f>
        <v>-23302131.281321667</v>
      </c>
      <c r="CK54" s="18">
        <f t="shared" si="14"/>
        <v>42</v>
      </c>
      <c r="CL54" s="10" t="s">
        <v>77</v>
      </c>
      <c r="CM54" s="50">
        <f>+BS54</f>
        <v>-23302131.281321667</v>
      </c>
      <c r="CN54" s="11">
        <f>+CI54</f>
        <v>0</v>
      </c>
      <c r="CO54" s="11">
        <f>+CN54+CM54</f>
        <v>-23302131.281321667</v>
      </c>
    </row>
    <row r="55" spans="1:94" ht="15" customHeight="1" x14ac:dyDescent="0.25">
      <c r="A55" s="18"/>
      <c r="B55" s="167"/>
      <c r="G55" s="273"/>
      <c r="L55" s="2"/>
      <c r="T55" s="57"/>
      <c r="U55" s="57"/>
      <c r="V55" s="57"/>
      <c r="W55" s="57"/>
      <c r="X55" s="57"/>
      <c r="Y55" s="57"/>
      <c r="Z55" s="57"/>
      <c r="AA55" s="57"/>
      <c r="AN55" s="18"/>
      <c r="AO55" s="2"/>
      <c r="AP55" s="2"/>
      <c r="AQ55"/>
      <c r="BK55" s="18"/>
      <c r="BP55" s="16"/>
      <c r="BQ55" s="18">
        <f t="shared" si="12"/>
        <v>43</v>
      </c>
      <c r="BR55" s="10" t="s">
        <v>75</v>
      </c>
      <c r="BS55" s="427">
        <f>SUM(BS51:BS54)</f>
        <v>2118008236.9863756</v>
      </c>
      <c r="BT55" s="7"/>
      <c r="BU55" s="7">
        <f>SUM(BU51:BU54)</f>
        <v>0</v>
      </c>
      <c r="BV55" s="7">
        <f>SUM(BV51:BV54)</f>
        <v>0</v>
      </c>
      <c r="BW55" s="7">
        <f>SUM(BW51:BW54)</f>
        <v>0</v>
      </c>
      <c r="BX55" s="7">
        <f>SUM(BX51:BX54)</f>
        <v>0</v>
      </c>
      <c r="BY55" s="7"/>
      <c r="BZ55" s="7">
        <f>SUM(BZ51:BZ54)</f>
        <v>0</v>
      </c>
      <c r="CA55" s="18">
        <f t="shared" si="13"/>
        <v>43</v>
      </c>
      <c r="CB55" s="10" t="s">
        <v>75</v>
      </c>
      <c r="CC55" s="7">
        <f>SUM(CC51:CC54)</f>
        <v>0</v>
      </c>
      <c r="CD55" s="7">
        <f>SUM(CD51:CD54)</f>
        <v>0</v>
      </c>
      <c r="CE55" s="7">
        <f>SUM(CE51:CE54)</f>
        <v>0</v>
      </c>
      <c r="CF55" s="7">
        <f>SUM(CF51:CF54)</f>
        <v>0</v>
      </c>
      <c r="CG55" s="7">
        <f>SUM(CG51:CG54)</f>
        <v>0</v>
      </c>
      <c r="CH55" s="7"/>
      <c r="CI55" s="7">
        <f>SUM(CI51:CI54)</f>
        <v>0</v>
      </c>
      <c r="CJ55" s="7">
        <f>SUM(CJ51:CJ54)</f>
        <v>2118008236.9863756</v>
      </c>
      <c r="CK55" s="18">
        <f t="shared" si="14"/>
        <v>43</v>
      </c>
      <c r="CL55" s="10" t="s">
        <v>75</v>
      </c>
      <c r="CM55" s="7">
        <f>SUM(CM51:CM54)</f>
        <v>2118008236.9863756</v>
      </c>
      <c r="CN55" s="7">
        <f>SUM(CN51:CN54)</f>
        <v>0</v>
      </c>
      <c r="CO55" s="7">
        <f>SUM(CO51:CO54)</f>
        <v>2118008236.9863756</v>
      </c>
    </row>
    <row r="56" spans="1:94" ht="15" customHeight="1" x14ac:dyDescent="0.25">
      <c r="G56" s="273"/>
      <c r="H56" s="197"/>
      <c r="I56" s="197"/>
      <c r="J56" s="197"/>
      <c r="K56" s="197"/>
      <c r="L56" s="2"/>
      <c r="T56" s="57"/>
      <c r="U56" s="57"/>
      <c r="V56" s="57"/>
      <c r="W56" s="57"/>
      <c r="X56" s="57"/>
      <c r="Y56" s="57"/>
      <c r="Z56" s="57"/>
      <c r="AA56" s="57"/>
      <c r="AN56" s="18"/>
      <c r="AO56" s="2"/>
      <c r="AP56" s="104"/>
      <c r="AQ56"/>
      <c r="BK56" s="38"/>
      <c r="BL56" s="38"/>
      <c r="BM56" s="38"/>
      <c r="BN56" s="38"/>
      <c r="BO56" s="38"/>
      <c r="BP56" s="16"/>
      <c r="BQ56" s="18">
        <f t="shared" si="12"/>
        <v>44</v>
      </c>
      <c r="BR56" s="10" t="s">
        <v>73</v>
      </c>
      <c r="BS56" s="47">
        <f>'[16]GRB AMA'!$C$31</f>
        <v>55319652.035860486</v>
      </c>
      <c r="BT56" s="11"/>
      <c r="BU56" s="11"/>
      <c r="BV56" s="11"/>
      <c r="BW56" s="11"/>
      <c r="BX56" s="11"/>
      <c r="BY56" s="11"/>
      <c r="BZ56" s="11"/>
      <c r="CA56" s="18">
        <f t="shared" si="13"/>
        <v>44</v>
      </c>
      <c r="CB56" s="10" t="s">
        <v>73</v>
      </c>
      <c r="CC56" s="11"/>
      <c r="CD56" s="11"/>
      <c r="CE56" s="11"/>
      <c r="CF56" s="11"/>
      <c r="CG56" s="11"/>
      <c r="CH56" s="11"/>
      <c r="CI56" s="11">
        <f>SUM(BT56:CH56)-CA56</f>
        <v>0</v>
      </c>
      <c r="CJ56" s="11">
        <f>+CI56+BS56</f>
        <v>55319652.035860486</v>
      </c>
      <c r="CK56" s="18">
        <f t="shared" si="14"/>
        <v>44</v>
      </c>
      <c r="CL56" s="10" t="s">
        <v>73</v>
      </c>
      <c r="CM56" s="50">
        <f>+BS56</f>
        <v>55319652.035860486</v>
      </c>
      <c r="CN56" s="11">
        <f>+CI56</f>
        <v>0</v>
      </c>
      <c r="CO56" s="11">
        <f>+CN56+CM56</f>
        <v>55319652.035860486</v>
      </c>
    </row>
    <row r="57" spans="1:94" ht="15" customHeight="1" thickBot="1" x14ac:dyDescent="0.3">
      <c r="G57" s="273"/>
      <c r="L57" s="2"/>
      <c r="T57" s="57"/>
      <c r="U57" s="57"/>
      <c r="V57" s="57"/>
      <c r="W57" s="57"/>
      <c r="X57" s="57"/>
      <c r="Y57" s="57"/>
      <c r="Z57" s="57"/>
      <c r="AA57" s="57"/>
      <c r="AN57" s="18"/>
      <c r="AO57" s="2"/>
      <c r="AP57" s="2"/>
      <c r="AQ57"/>
      <c r="BK57" s="38"/>
      <c r="BL57" s="38"/>
      <c r="BM57" s="38"/>
      <c r="BN57" s="38"/>
      <c r="BO57" s="38"/>
      <c r="BQ57" s="18">
        <f t="shared" si="12"/>
        <v>45</v>
      </c>
      <c r="BR57" s="103" t="s">
        <v>74</v>
      </c>
      <c r="BS57" s="428">
        <f>SUM(BS55:BS56)</f>
        <v>2173327889.0222359</v>
      </c>
      <c r="BT57" s="12"/>
      <c r="BU57" s="12">
        <f>SUM(BU55:BU56)</f>
        <v>0</v>
      </c>
      <c r="BV57" s="12">
        <f>SUM(BV55:BV56)</f>
        <v>0</v>
      </c>
      <c r="BW57" s="12">
        <f>SUM(BW55:BW56)</f>
        <v>0</v>
      </c>
      <c r="BX57" s="12">
        <f>SUM(BX55:BX56)</f>
        <v>0</v>
      </c>
      <c r="BY57" s="12"/>
      <c r="BZ57" s="12">
        <f>SUM(BZ55:BZ56)</f>
        <v>0</v>
      </c>
      <c r="CA57" s="18">
        <f t="shared" si="13"/>
        <v>45</v>
      </c>
      <c r="CB57" s="103" t="s">
        <v>74</v>
      </c>
      <c r="CC57" s="12">
        <f>SUM(CC55:CC56)</f>
        <v>0</v>
      </c>
      <c r="CD57" s="12">
        <f>SUM(CD55:CD56)</f>
        <v>0</v>
      </c>
      <c r="CE57" s="12">
        <f>SUM(CE55:CE56)</f>
        <v>0</v>
      </c>
      <c r="CF57" s="12">
        <f>SUM(CF55:CF56)</f>
        <v>0</v>
      </c>
      <c r="CG57" s="12">
        <f>SUM(CG55:CG56)</f>
        <v>0</v>
      </c>
      <c r="CH57" s="12"/>
      <c r="CI57" s="12">
        <f>SUM(CI55:CI56)</f>
        <v>0</v>
      </c>
      <c r="CJ57" s="12">
        <f>SUM(CJ55:CJ56)</f>
        <v>2173327889.0222359</v>
      </c>
      <c r="CK57" s="18">
        <f t="shared" si="14"/>
        <v>45</v>
      </c>
      <c r="CL57" s="103" t="s">
        <v>74</v>
      </c>
      <c r="CM57" s="12">
        <f>SUM(CM55:CM56)</f>
        <v>2173327889.0222359</v>
      </c>
      <c r="CN57" s="12">
        <f>SUM(CN55:CN56)</f>
        <v>0</v>
      </c>
      <c r="CO57" s="12">
        <f>SUM(CO55:CO56)</f>
        <v>2173327889.0222359</v>
      </c>
    </row>
    <row r="58" spans="1:94" ht="15" customHeight="1" thickTop="1" x14ac:dyDescent="0.25">
      <c r="G58" s="273"/>
      <c r="H58" s="197"/>
      <c r="I58" s="197"/>
      <c r="J58" s="197"/>
      <c r="K58" s="197"/>
      <c r="L58" s="2"/>
      <c r="T58" s="57"/>
      <c r="U58" s="57"/>
      <c r="V58" s="57"/>
      <c r="W58" s="57"/>
      <c r="X58" s="57"/>
      <c r="Y58" s="57"/>
      <c r="Z58" s="57"/>
      <c r="AA58" s="57"/>
      <c r="AN58" s="18"/>
      <c r="AO58" s="101"/>
      <c r="AP58" s="104"/>
      <c r="AQ58"/>
      <c r="BK58" s="38"/>
      <c r="BL58" s="38"/>
      <c r="BM58" s="38"/>
      <c r="BN58" s="38"/>
      <c r="BO58" s="38"/>
      <c r="CK58" s="18"/>
    </row>
    <row r="59" spans="1:94" ht="15" customHeight="1" x14ac:dyDescent="0.25">
      <c r="A59" s="282"/>
      <c r="B59" s="282"/>
      <c r="C59" s="282"/>
      <c r="D59" s="282"/>
      <c r="E59" s="282"/>
      <c r="F59" s="282"/>
      <c r="G59" s="273"/>
      <c r="H59" s="197"/>
      <c r="I59" s="197"/>
      <c r="J59" s="197"/>
      <c r="K59" s="197"/>
      <c r="L59" s="2"/>
      <c r="T59" s="57"/>
      <c r="U59" s="57"/>
      <c r="V59" s="57"/>
      <c r="W59" s="57"/>
      <c r="X59" s="57"/>
      <c r="Y59" s="57"/>
      <c r="Z59" s="57"/>
      <c r="AA59" s="57"/>
      <c r="AN59" s="18"/>
      <c r="AO59" s="101"/>
      <c r="AP59" s="104"/>
      <c r="AQ59"/>
      <c r="BK59" s="38"/>
      <c r="BL59" s="38"/>
      <c r="BM59" s="38"/>
      <c r="BN59" s="38"/>
      <c r="BO59" s="38"/>
      <c r="BP59" s="40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</row>
    <row r="60" spans="1:94" ht="15" customHeight="1" x14ac:dyDescent="0.25">
      <c r="A60" s="189"/>
      <c r="G60" s="273"/>
      <c r="H60" s="197"/>
      <c r="I60" s="197"/>
      <c r="J60" s="197"/>
      <c r="K60" s="197"/>
      <c r="L60" s="2"/>
      <c r="T60" s="57"/>
      <c r="U60" s="57"/>
      <c r="V60" s="57"/>
      <c r="W60" s="57"/>
      <c r="X60" s="57"/>
      <c r="Y60" s="57"/>
      <c r="Z60" s="57"/>
      <c r="AA60" s="57"/>
      <c r="AN60" s="83"/>
      <c r="AO60" s="101"/>
      <c r="AP60" s="104"/>
      <c r="AQ60"/>
      <c r="AS60" s="156"/>
      <c r="BK60" s="38"/>
      <c r="BL60" s="38"/>
      <c r="BM60" s="38"/>
      <c r="BN60" s="38"/>
      <c r="BO60" s="38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</row>
    <row r="61" spans="1:94" ht="15" customHeight="1" x14ac:dyDescent="0.25">
      <c r="A61" s="189"/>
      <c r="G61" s="273"/>
      <c r="H61" s="197"/>
      <c r="I61" s="197"/>
      <c r="J61" s="197"/>
      <c r="K61" s="197"/>
      <c r="L61" s="2"/>
      <c r="T61" s="57"/>
      <c r="U61" s="57"/>
      <c r="V61" s="57"/>
      <c r="W61" s="57"/>
      <c r="X61" s="57"/>
      <c r="Y61" s="57"/>
      <c r="Z61" s="57"/>
      <c r="AA61" s="57"/>
      <c r="AN61" s="22"/>
      <c r="AO61" s="101"/>
      <c r="AP61" s="105"/>
      <c r="BK61" s="38"/>
      <c r="BL61" s="38"/>
      <c r="BM61" s="38"/>
      <c r="BN61" s="38"/>
      <c r="BO61" s="38"/>
      <c r="BP61" s="7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</row>
    <row r="62" spans="1:94" ht="15" customHeight="1" x14ac:dyDescent="0.25">
      <c r="A62" s="189"/>
      <c r="G62" s="273"/>
      <c r="H62" s="197"/>
      <c r="I62" s="197"/>
      <c r="J62" s="197"/>
      <c r="K62" s="197"/>
      <c r="L62" s="2"/>
      <c r="T62" s="57"/>
      <c r="U62" s="57"/>
      <c r="V62" s="57"/>
      <c r="W62" s="57"/>
      <c r="X62" s="57"/>
      <c r="Y62" s="57"/>
      <c r="Z62" s="57"/>
      <c r="AA62" s="57"/>
      <c r="AN62" s="22"/>
      <c r="AO62" s="101"/>
      <c r="AP62" s="105"/>
      <c r="BK62" s="38"/>
      <c r="BL62" s="38"/>
      <c r="BM62" s="38"/>
      <c r="BN62" s="38"/>
      <c r="BO62" s="38"/>
      <c r="BP62" s="73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</row>
    <row r="63" spans="1:94" ht="15" customHeight="1" x14ac:dyDescent="0.25">
      <c r="A63" s="189"/>
      <c r="G63" s="273"/>
      <c r="H63" s="197"/>
      <c r="I63" s="197"/>
      <c r="J63" s="197"/>
      <c r="K63" s="197"/>
      <c r="L63" s="282"/>
      <c r="M63" s="282"/>
      <c r="N63" s="282"/>
      <c r="O63" s="282"/>
      <c r="T63" s="57"/>
      <c r="U63" s="57"/>
      <c r="V63" s="57"/>
      <c r="AN63" s="22"/>
      <c r="AO63" s="101"/>
      <c r="AP63" s="105"/>
      <c r="BK63" s="38"/>
      <c r="BL63" s="38"/>
      <c r="BM63" s="38"/>
      <c r="BN63" s="38"/>
      <c r="BO63" s="38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</row>
    <row r="64" spans="1:94" ht="15" customHeight="1" x14ac:dyDescent="0.25">
      <c r="A64" s="189"/>
      <c r="G64" s="273"/>
      <c r="H64" s="197"/>
      <c r="I64" s="197"/>
      <c r="J64" s="197"/>
      <c r="K64" s="197"/>
      <c r="L64" s="2"/>
      <c r="T64" s="57"/>
      <c r="U64" s="57"/>
      <c r="V64" s="57"/>
      <c r="AN64" s="22"/>
      <c r="AO64" s="101"/>
      <c r="AP64" s="105"/>
      <c r="BK64" s="38"/>
      <c r="BL64" s="38"/>
      <c r="BM64" s="38"/>
      <c r="BN64" s="38"/>
      <c r="BO64" s="38"/>
      <c r="BP64" s="2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</row>
    <row r="65" spans="1:94" ht="15" customHeight="1" x14ac:dyDescent="0.25">
      <c r="A65" s="189"/>
      <c r="G65" s="273"/>
      <c r="H65" s="197"/>
      <c r="I65" s="197"/>
      <c r="J65" s="197"/>
      <c r="K65" s="197"/>
      <c r="L65" s="2"/>
      <c r="P65" s="282"/>
      <c r="Q65" s="282"/>
      <c r="R65" s="282"/>
      <c r="T65" s="57"/>
      <c r="U65" s="57"/>
      <c r="V65" s="57"/>
      <c r="AN65" s="22"/>
      <c r="AO65" s="101"/>
      <c r="AP65" s="105"/>
      <c r="BK65" s="38"/>
      <c r="BL65" s="38"/>
      <c r="BM65" s="38"/>
      <c r="BN65" s="38"/>
      <c r="BO65" s="38"/>
      <c r="BP65" s="24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</row>
    <row r="66" spans="1:94" ht="15" customHeight="1" x14ac:dyDescent="0.25">
      <c r="A66" s="189"/>
      <c r="G66" s="273"/>
      <c r="H66" s="197"/>
      <c r="I66" s="197"/>
      <c r="J66" s="197"/>
      <c r="K66" s="197"/>
      <c r="L66" s="2"/>
      <c r="T66" s="57"/>
      <c r="U66" s="57"/>
      <c r="V66" s="57"/>
      <c r="AN66" s="22"/>
      <c r="AO66" s="101"/>
      <c r="AP66" s="105"/>
      <c r="BK66" s="38"/>
      <c r="BL66" s="38"/>
      <c r="BM66" s="38"/>
      <c r="BN66" s="38"/>
      <c r="BO66" s="38"/>
      <c r="BP66" s="21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</row>
    <row r="67" spans="1:94" ht="15" customHeight="1" x14ac:dyDescent="0.25">
      <c r="A67" s="189"/>
      <c r="G67" s="273"/>
      <c r="H67" s="197"/>
      <c r="I67" s="197"/>
      <c r="J67" s="197"/>
      <c r="K67" s="197"/>
      <c r="L67" s="2"/>
      <c r="T67" s="57"/>
      <c r="U67" s="57"/>
      <c r="V67" s="57"/>
      <c r="AN67" s="22"/>
      <c r="AO67" s="101"/>
      <c r="AP67" s="105"/>
      <c r="BK67" s="38"/>
      <c r="BL67" s="38"/>
      <c r="BM67" s="38"/>
      <c r="BN67" s="38"/>
      <c r="BO67" s="38"/>
      <c r="BP67" s="24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</row>
    <row r="68" spans="1:94" ht="15" customHeight="1" x14ac:dyDescent="0.25">
      <c r="A68" s="189"/>
      <c r="G68" s="273"/>
      <c r="H68" s="197"/>
      <c r="I68" s="197"/>
      <c r="J68" s="197"/>
      <c r="K68" s="197"/>
      <c r="L68" s="2"/>
      <c r="S68" s="282"/>
      <c r="T68" s="282"/>
      <c r="U68" s="282"/>
      <c r="V68" s="57"/>
      <c r="AN68" s="22"/>
      <c r="AO68" s="101"/>
      <c r="AP68" s="105"/>
      <c r="BK68" s="38"/>
      <c r="BL68" s="38"/>
      <c r="BM68" s="38"/>
      <c r="BN68" s="38"/>
      <c r="BO68" s="38"/>
      <c r="BP68" s="24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</row>
    <row r="69" spans="1:94" ht="15" customHeight="1" x14ac:dyDescent="0.25">
      <c r="A69" s="189"/>
      <c r="G69" s="273"/>
      <c r="H69" s="197"/>
      <c r="I69" s="197"/>
      <c r="J69" s="197"/>
      <c r="K69" s="197"/>
      <c r="L69" s="2"/>
      <c r="AN69" s="22"/>
      <c r="AO69" s="101"/>
      <c r="AP69" s="105"/>
      <c r="AW69" s="163"/>
      <c r="BK69" s="38"/>
      <c r="BL69" s="38"/>
      <c r="BM69" s="38"/>
      <c r="BN69" s="38"/>
      <c r="BO69" s="38"/>
      <c r="BP69" s="75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</row>
    <row r="70" spans="1:94" ht="15" customHeight="1" x14ac:dyDescent="0.25">
      <c r="A70" s="189"/>
      <c r="G70" s="273"/>
      <c r="H70" s="282"/>
      <c r="I70" s="282"/>
      <c r="J70" s="282"/>
      <c r="K70" s="282"/>
      <c r="L70" s="2"/>
      <c r="AN70" s="22"/>
      <c r="AO70" s="101"/>
      <c r="AP70" s="105"/>
      <c r="BK70" s="38"/>
      <c r="BL70" s="38"/>
      <c r="BM70" s="38"/>
      <c r="BN70" s="38"/>
      <c r="BO70" s="38"/>
      <c r="BP70" s="138" t="s">
        <v>20</v>
      </c>
      <c r="BS70" s="348"/>
    </row>
    <row r="71" spans="1:94" ht="15" customHeight="1" x14ac:dyDescent="0.25">
      <c r="A71" s="189"/>
      <c r="G71" s="273"/>
      <c r="H71" s="197"/>
      <c r="I71" s="197"/>
      <c r="J71" s="197"/>
      <c r="K71" s="197"/>
      <c r="L71" s="2"/>
      <c r="M71" s="189"/>
      <c r="AN71" s="22"/>
      <c r="AO71" s="101"/>
      <c r="AP71" s="105"/>
      <c r="BK71" s="38"/>
      <c r="BL71" s="38"/>
      <c r="BM71" s="38"/>
      <c r="BN71" s="38"/>
      <c r="BO71" s="38"/>
      <c r="BP71" s="139" t="s">
        <v>20</v>
      </c>
      <c r="BQ71" s="18"/>
    </row>
    <row r="72" spans="1:94" ht="15" customHeight="1" x14ac:dyDescent="0.25">
      <c r="A72" s="189"/>
      <c r="G72" s="273"/>
      <c r="H72" s="197"/>
      <c r="I72" s="197"/>
      <c r="J72" s="197"/>
      <c r="K72" s="197"/>
      <c r="BK72" s="38"/>
      <c r="BL72" s="38"/>
      <c r="BM72" s="38"/>
      <c r="BN72" s="38"/>
      <c r="BO72" s="38"/>
      <c r="BP72" s="76"/>
      <c r="BQ72" s="18"/>
    </row>
    <row r="73" spans="1:94" ht="15" customHeight="1" x14ac:dyDescent="0.25">
      <c r="A73" s="189"/>
      <c r="G73" s="273"/>
      <c r="H73" s="197"/>
      <c r="I73" s="197"/>
      <c r="J73" s="197"/>
      <c r="K73" s="197"/>
      <c r="BK73" s="38"/>
      <c r="BL73" s="38"/>
      <c r="BM73" s="38"/>
      <c r="BN73" s="38"/>
      <c r="BO73" s="38"/>
      <c r="BP73" s="61"/>
      <c r="BQ73" s="4"/>
    </row>
    <row r="74" spans="1:94" ht="15" customHeight="1" x14ac:dyDescent="0.25">
      <c r="A74" s="189"/>
      <c r="G74" s="273"/>
      <c r="H74" s="197"/>
      <c r="I74" s="197"/>
      <c r="J74" s="197"/>
      <c r="K74" s="197"/>
      <c r="BK74" s="38"/>
      <c r="BL74" s="38"/>
      <c r="BM74" s="38"/>
      <c r="BN74" s="38"/>
      <c r="BO74" s="38"/>
      <c r="BP74" s="77"/>
      <c r="BR74" s="18"/>
      <c r="BS74" s="110"/>
      <c r="BT74" s="18"/>
      <c r="BU74" s="18"/>
      <c r="BV74" s="18"/>
      <c r="BW74" s="18"/>
      <c r="BX74" s="18"/>
      <c r="BY74" s="18"/>
      <c r="BZ74" s="18"/>
      <c r="CA74" s="18"/>
      <c r="CB74" s="18"/>
    </row>
    <row r="75" spans="1:94" ht="15" customHeight="1" x14ac:dyDescent="0.25">
      <c r="A75" s="189"/>
      <c r="G75" s="197"/>
      <c r="H75" s="197"/>
      <c r="I75" s="197"/>
      <c r="J75" s="197"/>
      <c r="K75" s="197"/>
      <c r="BK75" s="38"/>
      <c r="BL75" s="38"/>
      <c r="BM75" s="38"/>
      <c r="BN75" s="38"/>
      <c r="BO75" s="38"/>
      <c r="BP75" s="61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4"/>
    </row>
    <row r="76" spans="1:94" ht="15" customHeight="1" x14ac:dyDescent="0.25">
      <c r="A76" s="189"/>
      <c r="G76" s="197"/>
      <c r="H76" s="197"/>
      <c r="I76" s="197"/>
      <c r="J76" s="197"/>
      <c r="K76" s="197"/>
      <c r="BK76" s="38"/>
      <c r="BL76" s="38"/>
      <c r="BM76" s="38"/>
      <c r="BN76" s="38"/>
      <c r="BO76" s="38"/>
      <c r="BP76" s="61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18"/>
    </row>
    <row r="77" spans="1:94" ht="15" customHeight="1" x14ac:dyDescent="0.25">
      <c r="A77" s="189"/>
      <c r="G77" s="282"/>
      <c r="H77" s="197"/>
      <c r="I77" s="197"/>
      <c r="J77" s="197"/>
      <c r="K77" s="197"/>
      <c r="BK77" s="38"/>
      <c r="BL77" s="38"/>
      <c r="BM77" s="38"/>
      <c r="BN77" s="38"/>
      <c r="BO77" s="38"/>
      <c r="BP77" s="7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</row>
    <row r="78" spans="1:94" ht="15" customHeight="1" x14ac:dyDescent="0.25">
      <c r="A78" s="189"/>
      <c r="G78" s="197"/>
      <c r="H78" s="197"/>
      <c r="I78" s="197"/>
      <c r="J78" s="197"/>
      <c r="K78" s="197"/>
      <c r="W78" s="19"/>
      <c r="X78" s="19"/>
      <c r="Y78" s="19"/>
      <c r="Z78" s="19"/>
      <c r="AA78" s="19"/>
      <c r="BK78" s="38"/>
      <c r="BL78" s="38"/>
      <c r="BM78" s="38"/>
      <c r="BN78" s="38"/>
      <c r="BO78" s="38"/>
      <c r="BP78" s="77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</row>
    <row r="79" spans="1:94" ht="15" customHeight="1" x14ac:dyDescent="0.25">
      <c r="G79" s="197"/>
      <c r="H79" s="197"/>
      <c r="I79" s="197"/>
      <c r="J79" s="197"/>
      <c r="K79" s="197"/>
      <c r="BK79" s="18"/>
      <c r="BO79" s="136" t="s">
        <v>20</v>
      </c>
      <c r="BP79" s="64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</row>
    <row r="80" spans="1:94" ht="15" customHeight="1" x14ac:dyDescent="0.25">
      <c r="G80" s="197"/>
      <c r="H80" s="197"/>
      <c r="I80" s="197"/>
      <c r="J80" s="197"/>
      <c r="K80" s="197"/>
      <c r="BK80" s="18"/>
      <c r="BO80" s="140"/>
      <c r="BP80" s="79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</row>
    <row r="81" spans="7:93" ht="15" customHeight="1" x14ac:dyDescent="0.25">
      <c r="G81" s="197"/>
      <c r="H81" s="197"/>
      <c r="I81" s="197"/>
      <c r="J81" s="197"/>
      <c r="K81" s="197"/>
      <c r="BK81" s="59"/>
      <c r="BO81" s="61"/>
      <c r="BP81" s="79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</row>
    <row r="82" spans="7:93" ht="15" customHeight="1" x14ac:dyDescent="0.25">
      <c r="G82" s="197"/>
      <c r="H82" s="197"/>
      <c r="I82" s="197"/>
      <c r="J82" s="197"/>
      <c r="K82" s="197"/>
      <c r="BK82" s="18"/>
      <c r="BN82" s="106"/>
      <c r="BO82" s="140"/>
      <c r="BP82" s="79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</row>
    <row r="83" spans="7:93" ht="15" customHeight="1" x14ac:dyDescent="0.25">
      <c r="G83" s="197"/>
      <c r="H83" s="197"/>
      <c r="I83" s="197"/>
      <c r="J83" s="197"/>
      <c r="K83" s="197"/>
      <c r="BK83" s="18"/>
      <c r="BO83" s="78"/>
      <c r="BP83" s="79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</row>
    <row r="84" spans="7:93" ht="15" customHeight="1" x14ac:dyDescent="0.25">
      <c r="G84" s="197"/>
      <c r="H84" s="197"/>
      <c r="I84" s="197"/>
      <c r="J84" s="197"/>
      <c r="K84" s="197"/>
      <c r="S84" s="19"/>
      <c r="T84" s="19"/>
      <c r="U84" s="19"/>
      <c r="V84" s="19"/>
      <c r="BK84" s="18"/>
      <c r="BO84" s="61"/>
      <c r="BP84" s="79"/>
      <c r="BQ84" s="62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</row>
    <row r="85" spans="7:93" ht="15" customHeight="1" x14ac:dyDescent="0.25">
      <c r="G85" s="197"/>
      <c r="H85" s="197"/>
      <c r="I85" s="197"/>
      <c r="J85" s="197"/>
      <c r="K85" s="197"/>
      <c r="BK85" s="18"/>
      <c r="BL85" s="38"/>
      <c r="BM85" s="38"/>
      <c r="BN85" s="38"/>
      <c r="BO85" s="38"/>
      <c r="BP85" s="38"/>
      <c r="BQ85" s="74"/>
      <c r="BR85" s="62"/>
      <c r="BS85" s="62"/>
      <c r="BT85" s="62"/>
      <c r="BU85" s="62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</row>
    <row r="86" spans="7:93" ht="15" customHeight="1" x14ac:dyDescent="0.25">
      <c r="G86" s="197"/>
      <c r="H86" s="197"/>
      <c r="I86" s="197"/>
      <c r="J86" s="197"/>
      <c r="K86" s="197"/>
      <c r="W86" s="49"/>
      <c r="X86" s="49"/>
      <c r="Y86" s="49"/>
      <c r="Z86" s="49"/>
      <c r="AA86" s="49"/>
      <c r="BK86" s="18"/>
      <c r="BL86" s="38"/>
      <c r="BM86" s="38"/>
      <c r="BN86" s="38"/>
      <c r="BO86" s="38"/>
      <c r="BP86" s="38"/>
      <c r="BR86" s="74"/>
      <c r="BS86" s="74"/>
      <c r="BT86" s="74"/>
      <c r="BU86" s="74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</row>
    <row r="87" spans="7:93" ht="15" customHeight="1" x14ac:dyDescent="0.25">
      <c r="G87" s="197"/>
      <c r="H87" s="197"/>
      <c r="I87" s="197"/>
      <c r="J87" s="197"/>
      <c r="K87" s="197"/>
      <c r="W87" s="49"/>
      <c r="X87" s="49"/>
      <c r="Y87" s="49"/>
      <c r="Z87" s="49"/>
      <c r="AA87" s="49"/>
      <c r="BK87" s="18"/>
      <c r="BL87" s="38"/>
      <c r="BM87" s="38"/>
      <c r="BN87" s="38"/>
      <c r="BO87" s="38"/>
      <c r="BP87" s="3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</row>
    <row r="88" spans="7:93" ht="15" customHeight="1" x14ac:dyDescent="0.25">
      <c r="G88" s="197"/>
      <c r="H88" s="197"/>
      <c r="I88" s="197"/>
      <c r="J88" s="197"/>
      <c r="K88" s="197"/>
      <c r="W88" s="49"/>
      <c r="X88" s="49"/>
      <c r="Y88" s="49"/>
      <c r="Z88" s="49"/>
      <c r="AA88" s="49"/>
      <c r="BK88" s="18"/>
      <c r="BL88" s="38"/>
      <c r="BM88" s="38"/>
      <c r="BN88" s="38"/>
      <c r="BO88" s="38"/>
      <c r="BP88" s="3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</row>
    <row r="89" spans="7:93" ht="15" customHeight="1" x14ac:dyDescent="0.25">
      <c r="G89" s="197"/>
      <c r="H89" s="197"/>
      <c r="I89" s="197"/>
      <c r="J89" s="197"/>
      <c r="K89" s="197"/>
      <c r="W89" s="49"/>
      <c r="X89" s="49"/>
      <c r="Y89" s="49"/>
      <c r="Z89" s="49"/>
      <c r="AA89" s="49"/>
      <c r="BK89" s="18"/>
      <c r="BL89" s="38"/>
      <c r="BM89" s="38"/>
      <c r="BN89" s="38"/>
      <c r="BO89" s="38"/>
      <c r="BP89" s="38"/>
      <c r="CC89" s="18"/>
      <c r="CD89" s="18"/>
      <c r="CE89" s="18"/>
      <c r="CI89" s="18"/>
      <c r="CJ89" s="18"/>
    </row>
    <row r="90" spans="7:93" ht="15" customHeight="1" x14ac:dyDescent="0.25">
      <c r="G90" s="197"/>
      <c r="H90" s="197"/>
      <c r="I90" s="197"/>
      <c r="J90" s="197"/>
      <c r="K90" s="197"/>
      <c r="W90" s="49"/>
      <c r="X90" s="49"/>
      <c r="Y90" s="49"/>
      <c r="Z90" s="49"/>
      <c r="AA90" s="49"/>
      <c r="BK90" s="18"/>
      <c r="BL90" s="38"/>
      <c r="BM90" s="38"/>
      <c r="BN90" s="38"/>
      <c r="BO90" s="38"/>
      <c r="BP90" s="38"/>
      <c r="CC90" s="18"/>
      <c r="CD90" s="18"/>
      <c r="CE90" s="18"/>
      <c r="CI90" s="18"/>
      <c r="CJ90" s="18"/>
    </row>
    <row r="91" spans="7:93" ht="15" customHeight="1" x14ac:dyDescent="0.25">
      <c r="G91" s="197"/>
      <c r="H91" s="197"/>
      <c r="I91" s="197"/>
      <c r="J91" s="197"/>
      <c r="K91" s="197"/>
      <c r="W91" s="49"/>
      <c r="X91" s="49"/>
      <c r="Y91" s="49"/>
      <c r="Z91" s="49"/>
      <c r="AA91" s="49"/>
      <c r="BK91" s="18"/>
      <c r="BL91" s="38"/>
      <c r="BM91" s="38"/>
      <c r="BN91" s="38"/>
      <c r="BO91" s="38"/>
      <c r="BP91" s="38"/>
      <c r="BQ91" s="18"/>
      <c r="CA91" s="18"/>
      <c r="CB91" s="18"/>
      <c r="CC91" s="18"/>
      <c r="CD91" s="18"/>
      <c r="CE91" s="18"/>
      <c r="CI91" s="18"/>
      <c r="CJ91" s="18"/>
    </row>
    <row r="92" spans="7:93" ht="15" customHeight="1" x14ac:dyDescent="0.25">
      <c r="G92" s="197"/>
      <c r="H92" s="197"/>
      <c r="I92" s="197"/>
      <c r="J92" s="197"/>
      <c r="K92" s="197"/>
      <c r="S92" s="49"/>
      <c r="T92" s="49"/>
      <c r="U92" s="49"/>
      <c r="V92" s="49"/>
      <c r="W92" s="49"/>
      <c r="X92" s="49"/>
      <c r="Y92" s="49"/>
      <c r="Z92" s="49"/>
      <c r="AA92" s="49"/>
      <c r="AB92" s="18"/>
      <c r="BK92" s="18"/>
      <c r="BL92" s="38"/>
      <c r="BM92" s="38"/>
      <c r="BN92" s="38"/>
      <c r="BO92" s="38"/>
      <c r="BP92" s="38"/>
      <c r="BQ92" s="18"/>
      <c r="BR92" s="18"/>
      <c r="BS92" s="110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</row>
    <row r="93" spans="7:93" ht="15" customHeight="1" x14ac:dyDescent="0.25">
      <c r="G93" s="197"/>
      <c r="H93" s="197"/>
      <c r="I93" s="197"/>
      <c r="J93" s="197"/>
      <c r="K93" s="197"/>
      <c r="S93" s="49"/>
      <c r="T93" s="49"/>
      <c r="U93" s="49"/>
      <c r="V93" s="49"/>
      <c r="W93" s="49"/>
      <c r="X93" s="49"/>
      <c r="Y93" s="49"/>
      <c r="Z93" s="49"/>
      <c r="AA93" s="49"/>
      <c r="AB93" s="18"/>
      <c r="BK93" s="18"/>
      <c r="BL93" s="38"/>
      <c r="BM93" s="38"/>
      <c r="BN93" s="38"/>
      <c r="BO93" s="38"/>
      <c r="BP93" s="38"/>
      <c r="BQ93" s="18"/>
      <c r="BR93" s="18"/>
      <c r="BS93" s="110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</row>
    <row r="94" spans="7:93" ht="15" customHeight="1" x14ac:dyDescent="0.25">
      <c r="G94" s="197"/>
      <c r="H94" s="197"/>
      <c r="I94" s="197"/>
      <c r="J94" s="197"/>
      <c r="K94" s="197"/>
      <c r="O94" s="2"/>
      <c r="S94" s="49"/>
      <c r="T94" s="49"/>
      <c r="U94" s="49"/>
      <c r="V94" s="49"/>
      <c r="W94" s="49"/>
      <c r="X94" s="49"/>
      <c r="Y94" s="49"/>
      <c r="Z94" s="49"/>
      <c r="AA94" s="49"/>
      <c r="AB94" s="18"/>
      <c r="BK94" s="18"/>
      <c r="BL94" s="18"/>
      <c r="BM94" s="131"/>
      <c r="BN94" s="130"/>
      <c r="BO94" s="132"/>
      <c r="BP94" s="132"/>
      <c r="BQ94" s="18"/>
      <c r="BR94" s="18"/>
      <c r="BS94" s="110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</row>
    <row r="95" spans="7:93" ht="15" customHeight="1" x14ac:dyDescent="0.25">
      <c r="G95" s="197"/>
      <c r="H95" s="197"/>
      <c r="I95" s="197"/>
      <c r="J95" s="197"/>
      <c r="K95" s="197"/>
      <c r="O95" s="2"/>
      <c r="S95" s="49"/>
      <c r="T95" s="49"/>
      <c r="U95" s="49"/>
      <c r="V95" s="49"/>
      <c r="W95" s="49"/>
      <c r="X95" s="49"/>
      <c r="Y95" s="49"/>
      <c r="Z95" s="49"/>
      <c r="AA95" s="49"/>
      <c r="AB95" s="18"/>
      <c r="BK95" s="18"/>
      <c r="BL95" s="18"/>
      <c r="BM95" s="131"/>
      <c r="BN95" s="130"/>
      <c r="BO95" s="132"/>
      <c r="BP95" s="132"/>
      <c r="BQ95" s="18"/>
      <c r="BR95" s="18"/>
      <c r="BS95" s="110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</row>
    <row r="96" spans="7:93" ht="15" customHeight="1" x14ac:dyDescent="0.25">
      <c r="G96" s="197"/>
      <c r="H96" s="197"/>
      <c r="I96" s="197"/>
      <c r="J96" s="197"/>
      <c r="K96" s="197"/>
      <c r="O96" s="2"/>
      <c r="P96" s="2"/>
      <c r="Q96" s="2"/>
      <c r="R96" s="2"/>
      <c r="S96" s="49"/>
      <c r="T96" s="49"/>
      <c r="U96" s="49"/>
      <c r="V96" s="49"/>
      <c r="W96" s="49"/>
      <c r="X96" s="49"/>
      <c r="Y96" s="49"/>
      <c r="Z96" s="49"/>
      <c r="AA96" s="49"/>
      <c r="AB96" s="18"/>
      <c r="BK96" s="18"/>
      <c r="BL96" s="18"/>
      <c r="BM96" s="131"/>
      <c r="BN96" s="130"/>
      <c r="BO96" s="132"/>
      <c r="BP96" s="132"/>
      <c r="BQ96" s="18"/>
      <c r="BR96" s="18"/>
      <c r="BS96" s="110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</row>
    <row r="97" spans="7:93" ht="15" customHeight="1" x14ac:dyDescent="0.25">
      <c r="G97" s="197"/>
      <c r="H97" s="197"/>
      <c r="I97" s="197"/>
      <c r="J97" s="197"/>
      <c r="K97" s="197"/>
      <c r="O97" s="2"/>
      <c r="P97" s="2"/>
      <c r="Q97" s="2"/>
      <c r="R97" s="2"/>
      <c r="S97" s="49"/>
      <c r="T97" s="49"/>
      <c r="U97" s="49"/>
      <c r="V97" s="49"/>
      <c r="W97" s="49"/>
      <c r="X97" s="49"/>
      <c r="Y97" s="49"/>
      <c r="Z97" s="49"/>
      <c r="AA97" s="49"/>
      <c r="BK97" s="18"/>
      <c r="BL97" s="18"/>
      <c r="BM97" s="131"/>
      <c r="BN97" s="130"/>
      <c r="BO97" s="132"/>
      <c r="BP97" s="132"/>
      <c r="BQ97" s="18"/>
      <c r="BR97" s="18"/>
      <c r="BS97" s="110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</row>
    <row r="98" spans="7:93" ht="15" customHeight="1" x14ac:dyDescent="0.25">
      <c r="G98" s="197"/>
      <c r="H98" s="197"/>
      <c r="I98" s="197"/>
      <c r="J98" s="197"/>
      <c r="K98" s="197"/>
      <c r="O98" s="2"/>
      <c r="P98" s="2"/>
      <c r="Q98" s="2"/>
      <c r="R98" s="2"/>
      <c r="S98" s="49"/>
      <c r="T98" s="49"/>
      <c r="U98" s="49"/>
      <c r="V98" s="49"/>
      <c r="BM98" s="131"/>
      <c r="BN98" s="130"/>
      <c r="BO98" s="132"/>
      <c r="BP98" s="132"/>
      <c r="BR98" s="18"/>
      <c r="BS98" s="110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</row>
    <row r="99" spans="7:93" ht="15" customHeight="1" x14ac:dyDescent="0.25">
      <c r="G99" s="197"/>
      <c r="H99" s="197"/>
      <c r="I99" s="197"/>
      <c r="J99" s="197"/>
      <c r="K99" s="197"/>
      <c r="O99" s="2"/>
      <c r="P99" s="2"/>
      <c r="Q99" s="2"/>
      <c r="R99" s="2"/>
      <c r="S99" s="49"/>
      <c r="T99" s="49"/>
      <c r="U99" s="49"/>
      <c r="V99" s="49"/>
      <c r="BM99" s="131"/>
      <c r="BN99" s="130"/>
      <c r="BO99" s="132"/>
      <c r="BP99" s="132"/>
    </row>
    <row r="100" spans="7:93" ht="15" customHeight="1" x14ac:dyDescent="0.25">
      <c r="G100" s="197"/>
      <c r="H100" s="197"/>
      <c r="I100" s="197"/>
      <c r="J100" s="197"/>
      <c r="K100" s="197"/>
      <c r="O100" s="2"/>
      <c r="P100" s="2"/>
      <c r="Q100" s="2"/>
      <c r="R100" s="2"/>
      <c r="S100" s="49"/>
      <c r="T100" s="49"/>
      <c r="U100" s="49"/>
      <c r="V100" s="49"/>
      <c r="BM100" s="131"/>
      <c r="BN100" s="130"/>
      <c r="BO100" s="132"/>
      <c r="BP100" s="132"/>
    </row>
    <row r="101" spans="7:93" ht="15" customHeight="1" x14ac:dyDescent="0.25">
      <c r="G101" s="197"/>
      <c r="H101" s="197"/>
      <c r="I101" s="197"/>
      <c r="J101" s="197"/>
      <c r="K101" s="197"/>
      <c r="O101" s="2"/>
      <c r="P101" s="2"/>
      <c r="Q101" s="2"/>
      <c r="R101" s="2"/>
      <c r="S101" s="49"/>
      <c r="T101" s="49"/>
      <c r="U101" s="49"/>
      <c r="V101" s="49"/>
      <c r="BM101" s="131"/>
      <c r="BN101" s="130"/>
      <c r="BO101" s="132"/>
      <c r="BP101" s="132"/>
    </row>
    <row r="102" spans="7:93" ht="15" customHeight="1" x14ac:dyDescent="0.25">
      <c r="G102" s="197"/>
      <c r="H102" s="197"/>
      <c r="I102" s="197"/>
      <c r="J102" s="197"/>
      <c r="K102" s="197"/>
      <c r="O102" s="2"/>
      <c r="P102" s="2"/>
      <c r="Q102" s="2"/>
      <c r="R102" s="2"/>
      <c r="S102" s="49"/>
      <c r="T102" s="49"/>
      <c r="U102" s="49"/>
      <c r="V102" s="49"/>
      <c r="BM102" s="131"/>
      <c r="BN102" s="130"/>
      <c r="BO102" s="132"/>
      <c r="BP102" s="132"/>
    </row>
    <row r="103" spans="7:93" ht="15" customHeight="1" x14ac:dyDescent="0.25">
      <c r="G103" s="197"/>
      <c r="H103" s="197"/>
      <c r="I103" s="197"/>
      <c r="J103" s="197"/>
      <c r="K103" s="197"/>
      <c r="O103" s="2"/>
      <c r="P103" s="2"/>
      <c r="Q103" s="2"/>
      <c r="R103" s="2"/>
      <c r="S103" s="49"/>
      <c r="T103" s="49"/>
      <c r="U103" s="49"/>
      <c r="V103" s="49"/>
      <c r="BM103" s="131"/>
      <c r="BN103" s="130"/>
      <c r="BO103" s="132"/>
      <c r="BP103" s="132"/>
    </row>
    <row r="104" spans="7:93" ht="15" customHeight="1" x14ac:dyDescent="0.25">
      <c r="G104" s="197"/>
      <c r="H104" s="197"/>
      <c r="I104" s="197"/>
      <c r="J104" s="197"/>
      <c r="K104" s="197"/>
      <c r="O104" s="2"/>
      <c r="P104" s="2"/>
      <c r="Q104" s="2"/>
      <c r="R104" s="2"/>
      <c r="BM104" s="131"/>
      <c r="BN104" s="130"/>
      <c r="BO104" s="132"/>
      <c r="BP104" s="132"/>
    </row>
    <row r="105" spans="7:93" ht="15" customHeight="1" x14ac:dyDescent="0.25">
      <c r="G105" s="197"/>
      <c r="H105" s="197"/>
      <c r="I105" s="197"/>
      <c r="J105" s="197"/>
      <c r="K105" s="197"/>
      <c r="O105" s="2"/>
      <c r="P105" s="2"/>
      <c r="Q105" s="2"/>
      <c r="R105" s="2"/>
      <c r="BM105" s="131"/>
      <c r="BN105" s="130"/>
      <c r="BO105" s="132"/>
      <c r="BP105" s="132"/>
    </row>
    <row r="106" spans="7:93" ht="15" customHeight="1" x14ac:dyDescent="0.25">
      <c r="G106" s="197"/>
      <c r="H106" s="197"/>
      <c r="I106" s="197"/>
      <c r="J106" s="197"/>
      <c r="K106" s="197"/>
      <c r="O106" s="2"/>
      <c r="P106" s="2"/>
      <c r="Q106" s="2"/>
      <c r="R106" s="2"/>
      <c r="BM106" s="131"/>
      <c r="BN106" s="130"/>
      <c r="BO106" s="132"/>
      <c r="BP106" s="132"/>
    </row>
    <row r="107" spans="7:93" ht="15" customHeight="1" x14ac:dyDescent="0.25">
      <c r="G107" s="197"/>
      <c r="H107" s="197"/>
      <c r="I107" s="197"/>
      <c r="J107" s="197"/>
      <c r="K107" s="197"/>
      <c r="O107" s="2"/>
      <c r="P107" s="2"/>
      <c r="Q107" s="2"/>
      <c r="R107" s="2"/>
      <c r="BM107" s="131"/>
      <c r="BN107" s="130"/>
      <c r="BO107" s="132"/>
      <c r="BP107" s="132"/>
    </row>
    <row r="108" spans="7:93" ht="15" customHeight="1" x14ac:dyDescent="0.25">
      <c r="G108" s="197"/>
      <c r="H108" s="197"/>
      <c r="I108" s="197"/>
      <c r="J108" s="197"/>
      <c r="K108" s="197"/>
      <c r="O108" s="107"/>
      <c r="P108" s="2"/>
      <c r="Q108" s="2"/>
      <c r="R108" s="2"/>
      <c r="BM108" s="131"/>
      <c r="BN108" s="130"/>
      <c r="BO108" s="132"/>
      <c r="BP108" s="132"/>
    </row>
    <row r="109" spans="7:93" ht="12.75" customHeight="1" x14ac:dyDescent="0.25">
      <c r="G109" s="197"/>
      <c r="H109" s="197"/>
      <c r="I109" s="197"/>
      <c r="J109" s="197"/>
      <c r="K109" s="197"/>
      <c r="O109" s="107"/>
      <c r="P109" s="2"/>
      <c r="Q109" s="2"/>
      <c r="R109" s="2"/>
      <c r="BM109" s="131"/>
      <c r="BN109" s="130"/>
      <c r="BO109" s="132"/>
      <c r="BP109" s="132"/>
    </row>
    <row r="110" spans="7:93" ht="12.75" customHeight="1" x14ac:dyDescent="0.25">
      <c r="G110" s="197"/>
      <c r="H110" s="197"/>
      <c r="I110" s="197"/>
      <c r="J110" s="197"/>
      <c r="K110" s="197"/>
      <c r="O110" s="107"/>
      <c r="P110" s="2"/>
      <c r="Q110" s="2"/>
      <c r="R110" s="2"/>
      <c r="BM110" s="131"/>
      <c r="BN110" s="130"/>
      <c r="BO110" s="132"/>
      <c r="BP110" s="132"/>
    </row>
    <row r="111" spans="7:93" ht="12.75" customHeight="1" x14ac:dyDescent="0.25">
      <c r="G111" s="197"/>
      <c r="H111" s="197"/>
      <c r="I111" s="197"/>
      <c r="J111" s="197"/>
      <c r="K111" s="197"/>
      <c r="O111" s="2"/>
      <c r="P111" s="2"/>
      <c r="Q111" s="2"/>
      <c r="R111" s="2"/>
      <c r="BM111" s="131"/>
      <c r="BN111" s="130"/>
      <c r="BO111" s="132"/>
      <c r="BP111" s="132"/>
    </row>
    <row r="112" spans="7:93" ht="12.75" customHeight="1" x14ac:dyDescent="0.25">
      <c r="G112" s="197"/>
      <c r="H112" s="197"/>
      <c r="I112" s="197"/>
      <c r="J112" s="197"/>
      <c r="K112" s="197"/>
      <c r="O112" s="2"/>
      <c r="P112" s="2"/>
      <c r="Q112" s="2"/>
      <c r="R112" s="2"/>
    </row>
    <row r="113" spans="7:73" ht="12.75" customHeight="1" x14ac:dyDescent="0.25">
      <c r="G113" s="197"/>
      <c r="H113" s="197"/>
      <c r="I113" s="197"/>
      <c r="J113" s="197"/>
      <c r="K113" s="197"/>
      <c r="O113" s="2"/>
      <c r="P113" s="2"/>
      <c r="Q113" s="2"/>
      <c r="R113" s="2"/>
    </row>
    <row r="114" spans="7:73" ht="12.75" customHeight="1" x14ac:dyDescent="0.25">
      <c r="G114" s="197"/>
      <c r="H114" s="197"/>
      <c r="I114" s="197"/>
      <c r="J114" s="197"/>
      <c r="K114" s="197"/>
      <c r="O114" s="2"/>
      <c r="P114" s="2"/>
      <c r="Q114" s="2"/>
      <c r="R114" s="2"/>
    </row>
    <row r="115" spans="7:73" ht="12.75" customHeight="1" x14ac:dyDescent="0.25">
      <c r="G115" s="197"/>
      <c r="H115" s="197"/>
      <c r="I115" s="197"/>
      <c r="J115" s="197"/>
      <c r="K115" s="197"/>
      <c r="O115" s="2"/>
      <c r="P115" s="2"/>
      <c r="Q115" s="2"/>
      <c r="R115" s="2"/>
    </row>
    <row r="116" spans="7:73" ht="12.75" customHeight="1" x14ac:dyDescent="0.25">
      <c r="G116" s="197"/>
      <c r="H116" s="197"/>
      <c r="I116" s="197"/>
      <c r="J116" s="197"/>
      <c r="K116" s="197"/>
      <c r="O116" s="2"/>
      <c r="P116" s="2"/>
      <c r="Q116" s="2"/>
      <c r="R116" s="2"/>
    </row>
    <row r="117" spans="7:73" ht="12.75" customHeight="1" x14ac:dyDescent="0.25">
      <c r="G117" s="197"/>
      <c r="H117" s="197"/>
      <c r="I117" s="197"/>
      <c r="J117" s="197"/>
      <c r="K117" s="197"/>
      <c r="O117" s="2"/>
      <c r="P117" s="2"/>
      <c r="Q117" s="2"/>
      <c r="R117" s="2"/>
      <c r="BK117" s="62"/>
      <c r="BL117" s="62"/>
      <c r="BM117" s="62"/>
      <c r="BN117" s="62"/>
      <c r="BO117" s="62"/>
      <c r="BP117" s="62"/>
      <c r="BQ117" s="62"/>
    </row>
    <row r="118" spans="7:73" ht="12.75" customHeight="1" x14ac:dyDescent="0.25">
      <c r="G118" s="197"/>
      <c r="H118" s="197"/>
      <c r="I118" s="197"/>
      <c r="J118" s="197"/>
      <c r="K118" s="197"/>
      <c r="O118" s="2"/>
      <c r="P118" s="2"/>
      <c r="Q118" s="2"/>
      <c r="R118" s="2"/>
      <c r="BK118" s="74"/>
      <c r="BL118" s="52"/>
      <c r="BM118" s="135"/>
      <c r="BN118" s="135"/>
      <c r="BO118" s="135"/>
      <c r="BP118" s="135"/>
      <c r="BQ118" s="135"/>
      <c r="BR118" s="62"/>
      <c r="BS118" s="62"/>
      <c r="BT118" s="62"/>
      <c r="BU118" s="62"/>
    </row>
    <row r="119" spans="7:73" ht="12.75" customHeight="1" x14ac:dyDescent="0.25">
      <c r="G119" s="197"/>
      <c r="H119" s="2"/>
      <c r="I119" s="2"/>
      <c r="J119" s="2"/>
      <c r="K119" s="28"/>
      <c r="O119" s="2"/>
      <c r="P119" s="2"/>
      <c r="Q119" s="2"/>
      <c r="R119" s="2"/>
      <c r="BL119" s="13"/>
      <c r="BR119" s="135"/>
    </row>
    <row r="120" spans="7:73" ht="12.75" customHeight="1" x14ac:dyDescent="0.25">
      <c r="G120" s="197"/>
      <c r="H120" s="2"/>
      <c r="I120" s="2"/>
      <c r="J120" s="2"/>
      <c r="K120" s="2"/>
      <c r="O120" s="2"/>
      <c r="P120" s="2"/>
      <c r="Q120" s="2"/>
      <c r="R120" s="2"/>
      <c r="BL120" s="13"/>
    </row>
    <row r="121" spans="7:73" ht="12.75" customHeight="1" x14ac:dyDescent="0.25">
      <c r="G121" s="197"/>
      <c r="H121" s="2"/>
      <c r="I121" s="2"/>
      <c r="J121" s="2"/>
      <c r="K121" s="2"/>
      <c r="O121" s="2"/>
      <c r="P121" s="2"/>
      <c r="Q121" s="2"/>
      <c r="R121" s="2"/>
      <c r="BL121" s="13"/>
      <c r="BU121" s="19"/>
    </row>
    <row r="122" spans="7:73" ht="12.75" customHeight="1" x14ac:dyDescent="0.25">
      <c r="G122" s="197"/>
      <c r="H122" s="2"/>
      <c r="I122" s="2"/>
      <c r="J122" s="2"/>
      <c r="K122" s="2"/>
      <c r="O122" s="2"/>
      <c r="P122" s="2"/>
      <c r="Q122" s="2"/>
      <c r="R122" s="2"/>
      <c r="BL122" s="13"/>
    </row>
    <row r="123" spans="7:73" ht="12.75" customHeight="1" x14ac:dyDescent="0.25">
      <c r="G123" s="197"/>
      <c r="H123" s="2"/>
      <c r="I123" s="2"/>
      <c r="J123" s="2"/>
      <c r="K123" s="2"/>
      <c r="O123" s="2"/>
      <c r="P123" s="2"/>
      <c r="Q123" s="2"/>
      <c r="R123" s="2"/>
      <c r="BL123" s="13"/>
    </row>
    <row r="124" spans="7:73" ht="12.75" customHeight="1" x14ac:dyDescent="0.25">
      <c r="G124" s="197"/>
      <c r="H124" s="2"/>
      <c r="I124" s="2"/>
      <c r="J124" s="2"/>
      <c r="K124" s="2"/>
      <c r="O124" s="2"/>
      <c r="P124" s="2"/>
      <c r="Q124" s="2"/>
      <c r="R124" s="2"/>
      <c r="BL124" s="13"/>
    </row>
    <row r="125" spans="7:73" ht="12.75" customHeight="1" x14ac:dyDescent="0.25">
      <c r="G125" s="197"/>
      <c r="H125" s="2"/>
      <c r="I125" s="2"/>
      <c r="J125" s="2"/>
      <c r="K125" s="2"/>
      <c r="O125" s="2"/>
      <c r="P125" s="2"/>
      <c r="Q125" s="2"/>
      <c r="R125" s="2"/>
    </row>
    <row r="126" spans="7:73" ht="12.75" customHeight="1" x14ac:dyDescent="0.25">
      <c r="G126" s="2"/>
      <c r="H126" s="2"/>
      <c r="I126" s="2"/>
      <c r="J126" s="2"/>
      <c r="K126" s="2"/>
      <c r="O126" s="2"/>
      <c r="P126" s="2"/>
      <c r="Q126" s="2"/>
      <c r="R126" s="2"/>
    </row>
    <row r="127" spans="7:73" ht="12.75" customHeight="1" x14ac:dyDescent="0.25">
      <c r="G127" s="2"/>
      <c r="H127" s="2"/>
      <c r="I127" s="2"/>
      <c r="J127" s="2"/>
      <c r="K127" s="2"/>
      <c r="O127" s="2"/>
      <c r="P127" s="2"/>
      <c r="Q127" s="2"/>
      <c r="R127" s="2"/>
    </row>
    <row r="128" spans="7:73" ht="12.75" customHeight="1" x14ac:dyDescent="0.25">
      <c r="G128" s="2"/>
      <c r="H128" s="2"/>
      <c r="I128" s="2"/>
      <c r="J128" s="2"/>
      <c r="K128" s="2"/>
      <c r="O128" s="2"/>
      <c r="P128" s="2"/>
      <c r="Q128" s="2"/>
      <c r="R128" s="2"/>
    </row>
    <row r="129" spans="7:18" ht="12.75" customHeight="1" x14ac:dyDescent="0.25">
      <c r="G129" s="2"/>
      <c r="H129" s="2"/>
      <c r="I129" s="2"/>
      <c r="J129" s="2"/>
      <c r="K129" s="2"/>
      <c r="O129" s="2"/>
      <c r="P129" s="2"/>
      <c r="Q129" s="2"/>
      <c r="R129" s="2"/>
    </row>
    <row r="130" spans="7:18" ht="12.75" customHeight="1" x14ac:dyDescent="0.25">
      <c r="H130" s="2"/>
      <c r="I130" s="2"/>
      <c r="J130" s="2"/>
      <c r="K130" s="2"/>
      <c r="O130" s="2"/>
      <c r="P130" s="2"/>
      <c r="Q130" s="2"/>
      <c r="R130" s="2"/>
    </row>
    <row r="131" spans="7:18" ht="12.75" customHeight="1" x14ac:dyDescent="0.25">
      <c r="H131" s="2"/>
      <c r="I131" s="2"/>
      <c r="J131" s="2"/>
      <c r="K131" s="2"/>
      <c r="O131" s="2"/>
      <c r="P131" s="2"/>
      <c r="Q131" s="2"/>
      <c r="R131" s="2"/>
    </row>
    <row r="132" spans="7:18" ht="12.75" customHeight="1" x14ac:dyDescent="0.25">
      <c r="H132" s="2"/>
      <c r="I132" s="2"/>
      <c r="J132" s="2"/>
      <c r="K132" s="2"/>
      <c r="O132" s="2"/>
      <c r="P132" s="2"/>
      <c r="Q132" s="2"/>
      <c r="R132" s="2"/>
    </row>
    <row r="133" spans="7:18" ht="12.75" customHeight="1" x14ac:dyDescent="0.25">
      <c r="H133" s="2"/>
      <c r="I133" s="2"/>
      <c r="J133" s="2"/>
      <c r="K133" s="2"/>
      <c r="O133" s="2"/>
      <c r="P133" s="2"/>
      <c r="Q133" s="2"/>
      <c r="R133" s="2"/>
    </row>
    <row r="134" spans="7:18" ht="12.75" customHeight="1" x14ac:dyDescent="0.25">
      <c r="H134" s="2"/>
      <c r="I134" s="2"/>
      <c r="J134" s="2"/>
      <c r="K134" s="2"/>
      <c r="O134" s="2"/>
      <c r="P134" s="2"/>
      <c r="Q134" s="2"/>
      <c r="R134" s="2"/>
    </row>
    <row r="135" spans="7:18" ht="12.75" customHeight="1" x14ac:dyDescent="0.25">
      <c r="H135" s="2"/>
      <c r="I135" s="2"/>
      <c r="J135" s="2"/>
      <c r="K135" s="2"/>
      <c r="O135" s="2"/>
      <c r="P135" s="2"/>
      <c r="Q135" s="2"/>
      <c r="R135" s="2"/>
    </row>
    <row r="136" spans="7:18" ht="12.75" customHeight="1" x14ac:dyDescent="0.25">
      <c r="H136" s="2"/>
      <c r="I136" s="2"/>
      <c r="J136" s="2"/>
      <c r="K136" s="2"/>
      <c r="O136" s="2"/>
      <c r="P136" s="2"/>
      <c r="Q136" s="2"/>
      <c r="R136" s="2"/>
    </row>
    <row r="137" spans="7:18" ht="12.75" customHeight="1" x14ac:dyDescent="0.25">
      <c r="H137" s="2"/>
      <c r="I137" s="2"/>
      <c r="J137" s="2"/>
      <c r="K137" s="2"/>
      <c r="O137" s="2"/>
      <c r="P137" s="2"/>
      <c r="Q137" s="2"/>
      <c r="R137" s="2"/>
    </row>
    <row r="138" spans="7:18" ht="12.75" customHeight="1" x14ac:dyDescent="0.25">
      <c r="H138" s="2"/>
      <c r="I138" s="2"/>
      <c r="J138" s="2"/>
      <c r="K138" s="2"/>
      <c r="O138" s="2"/>
      <c r="P138" s="2"/>
      <c r="Q138" s="2"/>
      <c r="R138" s="2"/>
    </row>
    <row r="139" spans="7:18" ht="12.75" customHeight="1" x14ac:dyDescent="0.25">
      <c r="H139" s="2"/>
      <c r="I139" s="2"/>
      <c r="J139" s="2"/>
      <c r="K139" s="2"/>
      <c r="O139" s="2"/>
      <c r="P139" s="2"/>
      <c r="Q139" s="2"/>
      <c r="R139" s="2"/>
    </row>
    <row r="140" spans="7:18" ht="12.75" customHeight="1" x14ac:dyDescent="0.25">
      <c r="H140" s="2"/>
      <c r="I140" s="2"/>
      <c r="J140" s="2"/>
      <c r="K140" s="2"/>
      <c r="O140" s="2"/>
      <c r="P140" s="2"/>
      <c r="Q140" s="2"/>
      <c r="R140" s="2"/>
    </row>
    <row r="141" spans="7:18" ht="12.75" customHeight="1" x14ac:dyDescent="0.25">
      <c r="H141" s="2"/>
      <c r="I141" s="2"/>
      <c r="J141" s="2"/>
      <c r="K141" s="2"/>
      <c r="O141" s="2"/>
      <c r="P141" s="2"/>
      <c r="Q141" s="2"/>
      <c r="R141" s="2"/>
    </row>
    <row r="142" spans="7:18" ht="12.75" customHeight="1" x14ac:dyDescent="0.25">
      <c r="H142" s="2"/>
      <c r="I142" s="2"/>
      <c r="J142" s="2"/>
      <c r="K142" s="2"/>
      <c r="O142" s="2"/>
      <c r="P142" s="2"/>
      <c r="Q142" s="2"/>
      <c r="R142" s="2"/>
    </row>
    <row r="143" spans="7:18" ht="12.75" customHeight="1" x14ac:dyDescent="0.25">
      <c r="H143" s="2"/>
      <c r="I143" s="2"/>
      <c r="J143" s="2"/>
      <c r="K143" s="2"/>
      <c r="O143" s="2"/>
      <c r="P143" s="2"/>
      <c r="Q143" s="2"/>
      <c r="R143" s="2"/>
    </row>
    <row r="144" spans="7:18" ht="12.75" customHeight="1" x14ac:dyDescent="0.25">
      <c r="H144" s="2"/>
      <c r="I144" s="2"/>
      <c r="J144" s="2"/>
      <c r="K144" s="2"/>
      <c r="O144" s="2"/>
      <c r="P144" s="2"/>
      <c r="Q144" s="2"/>
      <c r="R144" s="2"/>
    </row>
    <row r="145" spans="8:18" ht="12.75" customHeight="1" x14ac:dyDescent="0.25">
      <c r="H145" s="2"/>
      <c r="I145" s="2"/>
      <c r="J145" s="2"/>
      <c r="K145" s="2"/>
      <c r="O145" s="2"/>
      <c r="P145" s="2"/>
      <c r="Q145" s="2"/>
      <c r="R145" s="2"/>
    </row>
    <row r="146" spans="8:18" ht="12.75" customHeight="1" x14ac:dyDescent="0.25">
      <c r="H146" s="2"/>
      <c r="I146" s="2"/>
      <c r="J146" s="2"/>
      <c r="K146" s="2"/>
      <c r="O146" s="2"/>
      <c r="P146" s="2"/>
      <c r="Q146" s="2"/>
      <c r="R146" s="2"/>
    </row>
    <row r="147" spans="8:18" ht="12.75" customHeight="1" x14ac:dyDescent="0.25">
      <c r="I147" s="2"/>
      <c r="J147" s="2"/>
      <c r="K147" s="2"/>
      <c r="O147" s="2"/>
      <c r="P147" s="2"/>
      <c r="Q147" s="2"/>
      <c r="R147" s="2"/>
    </row>
    <row r="148" spans="8:18" ht="12.75" customHeight="1" x14ac:dyDescent="0.25">
      <c r="O148" s="2"/>
      <c r="P148" s="2"/>
      <c r="Q148" s="2"/>
      <c r="R148" s="2"/>
    </row>
    <row r="149" spans="8:18" ht="12.75" customHeight="1" x14ac:dyDescent="0.25">
      <c r="O149" s="2"/>
      <c r="P149" s="2"/>
      <c r="Q149" s="2"/>
      <c r="R149" s="2"/>
    </row>
    <row r="150" spans="8:18" ht="12.75" customHeight="1" x14ac:dyDescent="0.25">
      <c r="O150" s="2"/>
      <c r="P150" s="2"/>
      <c r="Q150" s="2"/>
      <c r="R150" s="2"/>
    </row>
    <row r="151" spans="8:18" ht="12.75" customHeight="1" x14ac:dyDescent="0.25">
      <c r="O151" s="2"/>
      <c r="P151" s="2"/>
      <c r="Q151" s="2"/>
      <c r="R151" s="2"/>
    </row>
    <row r="152" spans="8:18" ht="12.75" customHeight="1" x14ac:dyDescent="0.25">
      <c r="O152" s="2"/>
      <c r="P152" s="2"/>
      <c r="Q152" s="2"/>
      <c r="R152" s="2"/>
    </row>
    <row r="153" spans="8:18" ht="12.75" customHeight="1" x14ac:dyDescent="0.25">
      <c r="O153" s="2"/>
      <c r="P153" s="2"/>
      <c r="Q153" s="2"/>
      <c r="R153" s="2"/>
    </row>
    <row r="154" spans="8:18" ht="12.75" customHeight="1" x14ac:dyDescent="0.25">
      <c r="O154" s="2"/>
      <c r="P154" s="2"/>
      <c r="Q154" s="2"/>
      <c r="R154" s="2"/>
    </row>
    <row r="155" spans="8:18" ht="12.75" customHeight="1" x14ac:dyDescent="0.25">
      <c r="O155" s="2"/>
      <c r="P155" s="2"/>
      <c r="Q155" s="2"/>
      <c r="R155" s="2"/>
    </row>
    <row r="156" spans="8:18" ht="12.75" customHeight="1" x14ac:dyDescent="0.25">
      <c r="O156" s="2"/>
      <c r="P156" s="2"/>
      <c r="Q156" s="2"/>
      <c r="R156" s="2"/>
    </row>
    <row r="157" spans="8:18" ht="12.75" customHeight="1" x14ac:dyDescent="0.25">
      <c r="O157" s="2"/>
      <c r="P157" s="2"/>
      <c r="Q157" s="2"/>
      <c r="R157" s="2"/>
    </row>
    <row r="158" spans="8:18" ht="12.75" customHeight="1" x14ac:dyDescent="0.25">
      <c r="O158" s="2"/>
      <c r="P158" s="2"/>
      <c r="Q158" s="2"/>
      <c r="R158" s="2"/>
    </row>
    <row r="159" spans="8:18" ht="12.75" customHeight="1" x14ac:dyDescent="0.25">
      <c r="O159" s="2"/>
      <c r="P159" s="2"/>
      <c r="Q159" s="2"/>
      <c r="R159" s="2"/>
    </row>
    <row r="160" spans="8:18" ht="12.75" customHeight="1" x14ac:dyDescent="0.25">
      <c r="O160" s="2"/>
      <c r="P160" s="2"/>
      <c r="Q160" s="2"/>
      <c r="R160" s="2"/>
    </row>
    <row r="161" spans="7:18" ht="12.75" customHeight="1" x14ac:dyDescent="0.25">
      <c r="O161" s="2"/>
      <c r="P161" s="2"/>
      <c r="Q161" s="2"/>
      <c r="R161" s="2"/>
    </row>
    <row r="162" spans="7:18" ht="12.75" customHeight="1" x14ac:dyDescent="0.25">
      <c r="O162" s="2"/>
      <c r="P162" s="2"/>
      <c r="Q162" s="2"/>
      <c r="R162" s="2"/>
    </row>
    <row r="163" spans="7:18" ht="12.75" customHeight="1" x14ac:dyDescent="0.25">
      <c r="O163" s="2"/>
      <c r="P163" s="2"/>
      <c r="Q163" s="2"/>
      <c r="R163" s="2"/>
    </row>
    <row r="164" spans="7:18" ht="12.75" customHeight="1" x14ac:dyDescent="0.25">
      <c r="O164" s="2"/>
      <c r="P164" s="2"/>
      <c r="Q164" s="2"/>
      <c r="R164" s="2"/>
    </row>
    <row r="165" spans="7:18" ht="12.75" customHeight="1" x14ac:dyDescent="0.25">
      <c r="O165" s="2"/>
      <c r="P165" s="2"/>
      <c r="Q165" s="2"/>
      <c r="R165" s="2"/>
    </row>
    <row r="166" spans="7:18" ht="12.75" customHeight="1" x14ac:dyDescent="0.25">
      <c r="O166" s="2"/>
      <c r="P166" s="2"/>
      <c r="Q166" s="2"/>
      <c r="R166" s="2"/>
    </row>
    <row r="167" spans="7:18" ht="12.75" customHeight="1" x14ac:dyDescent="0.25">
      <c r="O167" s="2"/>
      <c r="P167" s="2"/>
      <c r="Q167" s="2"/>
      <c r="R167" s="2"/>
    </row>
    <row r="168" spans="7:18" ht="12.75" customHeight="1" x14ac:dyDescent="0.25">
      <c r="O168" s="2"/>
      <c r="P168" s="2"/>
      <c r="Q168" s="2"/>
      <c r="R168" s="2"/>
    </row>
    <row r="169" spans="7:18" ht="12.75" customHeight="1" x14ac:dyDescent="0.25">
      <c r="O169" s="2"/>
      <c r="P169" s="2"/>
      <c r="Q169" s="2"/>
      <c r="R169" s="2"/>
    </row>
    <row r="170" spans="7:18" ht="12.75" customHeight="1" x14ac:dyDescent="0.25">
      <c r="O170" s="2"/>
      <c r="P170" s="2"/>
      <c r="Q170" s="2"/>
      <c r="R170" s="2"/>
    </row>
    <row r="171" spans="7:18" ht="12.75" customHeight="1" x14ac:dyDescent="0.25">
      <c r="O171" s="2"/>
      <c r="P171" s="2"/>
      <c r="Q171" s="2"/>
      <c r="R171" s="2"/>
    </row>
    <row r="172" spans="7:18" ht="12.75" customHeight="1" x14ac:dyDescent="0.25">
      <c r="O172" s="2"/>
      <c r="P172" s="2"/>
      <c r="Q172" s="2"/>
      <c r="R172" s="2"/>
    </row>
    <row r="173" spans="7:18" ht="12.75" customHeight="1" x14ac:dyDescent="0.25">
      <c r="G173" s="108"/>
      <c r="O173" s="2"/>
      <c r="P173" s="2"/>
      <c r="Q173" s="2"/>
      <c r="R173" s="2"/>
    </row>
    <row r="174" spans="7:18" ht="12.75" customHeight="1" x14ac:dyDescent="0.25">
      <c r="G174" s="108"/>
      <c r="O174" s="2"/>
      <c r="P174" s="2"/>
      <c r="Q174" s="2"/>
      <c r="R174" s="2"/>
    </row>
    <row r="175" spans="7:18" ht="12.75" customHeight="1" x14ac:dyDescent="0.25">
      <c r="G175" s="108"/>
      <c r="O175" s="2"/>
      <c r="P175" s="2"/>
      <c r="Q175" s="2"/>
      <c r="R175" s="2"/>
    </row>
    <row r="176" spans="7:18" ht="12.75" customHeight="1" x14ac:dyDescent="0.25">
      <c r="G176" s="108"/>
      <c r="O176" s="2"/>
      <c r="P176" s="2"/>
      <c r="Q176" s="2"/>
      <c r="R176" s="2"/>
    </row>
    <row r="177" spans="7:18" ht="12.75" customHeight="1" x14ac:dyDescent="0.25">
      <c r="G177" s="110"/>
      <c r="O177" s="2"/>
      <c r="P177" s="2"/>
      <c r="Q177" s="2"/>
      <c r="R177" s="2"/>
    </row>
    <row r="178" spans="7:18" ht="12.75" customHeight="1" x14ac:dyDescent="0.25">
      <c r="G178" s="110"/>
      <c r="O178" s="2"/>
      <c r="P178" s="2"/>
      <c r="Q178" s="2"/>
      <c r="R178" s="2"/>
    </row>
    <row r="179" spans="7:18" ht="12.75" customHeight="1" x14ac:dyDescent="0.25">
      <c r="G179" s="112"/>
      <c r="O179" s="2"/>
      <c r="P179" s="2"/>
      <c r="Q179" s="2"/>
      <c r="R179" s="2"/>
    </row>
    <row r="180" spans="7:18" ht="12.75" customHeight="1" x14ac:dyDescent="0.25">
      <c r="G180" s="115"/>
      <c r="O180" s="2"/>
      <c r="P180" s="2"/>
      <c r="Q180" s="2"/>
      <c r="R180" s="2"/>
    </row>
    <row r="181" spans="7:18" ht="12.75" customHeight="1" x14ac:dyDescent="0.25">
      <c r="G181" s="115"/>
      <c r="O181" s="2"/>
      <c r="P181" s="2"/>
      <c r="Q181" s="2"/>
      <c r="R181" s="2"/>
    </row>
    <row r="182" spans="7:18" ht="12.75" customHeight="1" x14ac:dyDescent="0.25">
      <c r="G182" s="115"/>
      <c r="O182" s="2"/>
      <c r="P182" s="2"/>
      <c r="Q182" s="2"/>
      <c r="R182" s="2"/>
    </row>
    <row r="183" spans="7:18" ht="12.75" customHeight="1" x14ac:dyDescent="0.25">
      <c r="G183" s="115"/>
      <c r="O183" s="2"/>
      <c r="P183" s="2"/>
      <c r="Q183" s="2"/>
      <c r="R183" s="2"/>
    </row>
    <row r="184" spans="7:18" ht="12.75" customHeight="1" x14ac:dyDescent="0.25">
      <c r="G184" s="115"/>
      <c r="O184" s="2"/>
      <c r="P184" s="2"/>
      <c r="Q184" s="2"/>
      <c r="R184" s="2"/>
    </row>
    <row r="185" spans="7:18" ht="12.75" customHeight="1" x14ac:dyDescent="0.25">
      <c r="G185" s="115"/>
      <c r="O185" s="2"/>
      <c r="P185" s="2"/>
      <c r="Q185" s="2"/>
      <c r="R185" s="2"/>
    </row>
    <row r="186" spans="7:18" ht="12.75" customHeight="1" x14ac:dyDescent="0.25">
      <c r="G186" s="115"/>
      <c r="O186" s="2"/>
      <c r="P186" s="2"/>
      <c r="Q186" s="2"/>
      <c r="R186" s="2"/>
    </row>
    <row r="187" spans="7:18" ht="12.75" customHeight="1" x14ac:dyDescent="0.25">
      <c r="G187" s="115"/>
      <c r="O187" s="2"/>
      <c r="P187" s="2"/>
      <c r="Q187" s="2"/>
      <c r="R187" s="2"/>
    </row>
    <row r="188" spans="7:18" ht="12.75" customHeight="1" x14ac:dyDescent="0.25">
      <c r="G188" s="115"/>
      <c r="O188" s="2"/>
      <c r="P188" s="2"/>
      <c r="Q188" s="2"/>
      <c r="R188" s="2"/>
    </row>
    <row r="189" spans="7:18" ht="12.75" customHeight="1" x14ac:dyDescent="0.25">
      <c r="G189" s="115"/>
      <c r="O189" s="2"/>
      <c r="P189" s="2"/>
      <c r="Q189" s="2"/>
      <c r="R189" s="2"/>
    </row>
    <row r="190" spans="7:18" ht="12.75" customHeight="1" x14ac:dyDescent="0.25">
      <c r="G190" s="115"/>
      <c r="O190" s="2"/>
      <c r="P190" s="2"/>
      <c r="Q190" s="2"/>
      <c r="R190" s="2"/>
    </row>
    <row r="191" spans="7:18" ht="12.75" customHeight="1" x14ac:dyDescent="0.25">
      <c r="G191" s="115"/>
      <c r="K191" s="109"/>
      <c r="O191" s="2"/>
      <c r="P191" s="2"/>
      <c r="Q191" s="2"/>
      <c r="R191" s="2"/>
    </row>
    <row r="192" spans="7:18" ht="12.75" customHeight="1" x14ac:dyDescent="0.25">
      <c r="G192" s="115"/>
      <c r="K192" s="109"/>
      <c r="O192" s="2"/>
      <c r="P192" s="2"/>
      <c r="Q192" s="2"/>
      <c r="R192" s="2"/>
    </row>
    <row r="193" spans="7:18" ht="12.75" customHeight="1" x14ac:dyDescent="0.25">
      <c r="G193" s="112"/>
      <c r="K193" s="109"/>
      <c r="O193" s="2"/>
      <c r="P193" s="2"/>
      <c r="Q193" s="2"/>
      <c r="R193" s="2"/>
    </row>
    <row r="194" spans="7:18" ht="12.75" customHeight="1" x14ac:dyDescent="0.25">
      <c r="G194" s="115"/>
      <c r="H194" s="108"/>
      <c r="K194" s="109"/>
      <c r="O194" s="2"/>
      <c r="P194" s="2"/>
      <c r="Q194" s="2"/>
      <c r="R194" s="2"/>
    </row>
    <row r="195" spans="7:18" ht="12.75" customHeight="1" x14ac:dyDescent="0.25">
      <c r="G195" s="115"/>
      <c r="H195" s="111"/>
      <c r="I195" s="108"/>
      <c r="J195" s="108"/>
      <c r="K195" s="108"/>
      <c r="O195" s="2"/>
      <c r="P195" s="2"/>
      <c r="Q195" s="2"/>
      <c r="R195" s="2"/>
    </row>
    <row r="196" spans="7:18" ht="12.75" customHeight="1" x14ac:dyDescent="0.25">
      <c r="G196" s="112"/>
      <c r="H196" s="113"/>
      <c r="I196" s="111"/>
      <c r="J196" s="111"/>
      <c r="K196" s="111"/>
      <c r="O196" s="2"/>
      <c r="P196" s="2"/>
      <c r="Q196" s="2"/>
      <c r="R196" s="2"/>
    </row>
    <row r="197" spans="7:18" ht="12.75" customHeight="1" x14ac:dyDescent="0.25">
      <c r="G197" s="112"/>
      <c r="H197" s="114"/>
      <c r="I197" s="113"/>
      <c r="J197" s="113"/>
      <c r="K197" s="113"/>
      <c r="O197" s="2"/>
      <c r="P197" s="2"/>
      <c r="Q197" s="2"/>
      <c r="R197" s="2"/>
    </row>
    <row r="198" spans="7:18" ht="12.75" customHeight="1" x14ac:dyDescent="0.25">
      <c r="G198" s="115"/>
      <c r="H198" s="114"/>
      <c r="I198" s="114"/>
      <c r="J198" s="114"/>
      <c r="K198" s="114"/>
      <c r="O198" s="2"/>
      <c r="P198" s="2"/>
      <c r="Q198" s="2"/>
      <c r="R198" s="2"/>
    </row>
    <row r="199" spans="7:18" ht="12.75" customHeight="1" x14ac:dyDescent="0.25">
      <c r="G199" s="115"/>
      <c r="H199" s="114"/>
      <c r="I199" s="114"/>
      <c r="J199" s="114"/>
      <c r="K199" s="114"/>
      <c r="O199" s="2"/>
      <c r="P199" s="2"/>
      <c r="Q199" s="2"/>
      <c r="R199" s="2"/>
    </row>
    <row r="200" spans="7:18" ht="12.75" customHeight="1" x14ac:dyDescent="0.25">
      <c r="G200" s="115"/>
      <c r="H200" s="114"/>
      <c r="I200" s="114"/>
      <c r="J200" s="114"/>
      <c r="K200" s="114"/>
      <c r="O200" s="2"/>
      <c r="P200" s="2"/>
      <c r="Q200" s="2"/>
      <c r="R200" s="2"/>
    </row>
    <row r="201" spans="7:18" ht="12.75" customHeight="1" x14ac:dyDescent="0.25">
      <c r="G201" s="115"/>
      <c r="H201" s="114"/>
      <c r="I201" s="114"/>
      <c r="J201" s="114"/>
      <c r="K201" s="114"/>
      <c r="O201" s="2"/>
      <c r="P201" s="2"/>
      <c r="Q201" s="2"/>
      <c r="R201" s="2"/>
    </row>
    <row r="202" spans="7:18" ht="12.75" customHeight="1" x14ac:dyDescent="0.25">
      <c r="G202" s="115"/>
      <c r="H202" s="114"/>
      <c r="I202" s="114"/>
      <c r="J202" s="114"/>
      <c r="K202" s="114"/>
      <c r="O202" s="2"/>
      <c r="P202" s="2"/>
      <c r="Q202" s="2"/>
      <c r="R202" s="2"/>
    </row>
    <row r="203" spans="7:18" ht="12.75" customHeight="1" x14ac:dyDescent="0.25">
      <c r="G203" s="115"/>
      <c r="H203" s="114"/>
      <c r="I203" s="114"/>
      <c r="J203" s="114"/>
      <c r="K203" s="114"/>
      <c r="O203" s="2"/>
      <c r="P203" s="2"/>
      <c r="Q203" s="2"/>
      <c r="R203" s="2"/>
    </row>
    <row r="204" spans="7:18" ht="12.75" customHeight="1" x14ac:dyDescent="0.25">
      <c r="G204" s="115"/>
      <c r="H204" s="114"/>
      <c r="I204" s="114"/>
      <c r="J204" s="114"/>
      <c r="K204" s="114"/>
      <c r="O204" s="2"/>
      <c r="P204" s="2"/>
      <c r="Q204" s="2"/>
      <c r="R204" s="2"/>
    </row>
    <row r="205" spans="7:18" ht="12.75" customHeight="1" x14ac:dyDescent="0.25">
      <c r="G205" s="115"/>
      <c r="H205" s="114"/>
      <c r="I205" s="114"/>
      <c r="J205" s="114"/>
      <c r="K205" s="114"/>
      <c r="O205" s="2"/>
      <c r="P205" s="2"/>
      <c r="Q205" s="2"/>
      <c r="R205" s="2"/>
    </row>
    <row r="206" spans="7:18" ht="12.75" customHeight="1" x14ac:dyDescent="0.25">
      <c r="G206" s="115"/>
      <c r="H206" s="114"/>
      <c r="I206" s="114"/>
      <c r="J206" s="114"/>
      <c r="K206" s="114"/>
      <c r="O206" s="2"/>
      <c r="P206" s="2"/>
      <c r="Q206" s="2"/>
      <c r="R206" s="2"/>
    </row>
    <row r="207" spans="7:18" ht="12.75" customHeight="1" x14ac:dyDescent="0.25">
      <c r="G207" s="115"/>
      <c r="H207" s="116"/>
      <c r="I207" s="114"/>
      <c r="J207" s="114"/>
      <c r="K207" s="114"/>
      <c r="O207" s="2"/>
      <c r="P207" s="2"/>
      <c r="Q207" s="2"/>
      <c r="R207" s="2"/>
    </row>
    <row r="208" spans="7:18" ht="12.75" customHeight="1" x14ac:dyDescent="0.25">
      <c r="G208" s="115"/>
      <c r="H208" s="116"/>
      <c r="I208" s="116"/>
      <c r="J208" s="116"/>
      <c r="K208" s="117"/>
      <c r="O208" s="2"/>
      <c r="P208" s="2"/>
      <c r="Q208" s="2"/>
      <c r="R208" s="2"/>
    </row>
    <row r="209" spans="7:18" ht="12.75" customHeight="1" x14ac:dyDescent="0.25">
      <c r="G209" s="115"/>
      <c r="H209" s="116"/>
      <c r="I209" s="116"/>
      <c r="J209" s="116"/>
      <c r="K209" s="117"/>
      <c r="O209" s="2"/>
      <c r="P209" s="2"/>
      <c r="Q209" s="2"/>
      <c r="R209" s="2"/>
    </row>
    <row r="210" spans="7:18" ht="12.75" customHeight="1" x14ac:dyDescent="0.25">
      <c r="G210" s="115"/>
      <c r="H210" s="116"/>
      <c r="I210" s="116"/>
      <c r="J210" s="116"/>
      <c r="K210" s="117"/>
      <c r="O210" s="2"/>
      <c r="P210" s="2"/>
      <c r="Q210" s="2"/>
      <c r="R210" s="2"/>
    </row>
    <row r="211" spans="7:18" ht="12.75" customHeight="1" x14ac:dyDescent="0.25">
      <c r="G211" s="115"/>
      <c r="H211" s="117"/>
      <c r="I211" s="116"/>
      <c r="J211" s="116"/>
      <c r="K211" s="117"/>
      <c r="O211" s="2"/>
      <c r="P211" s="2"/>
      <c r="Q211" s="2"/>
      <c r="R211" s="2"/>
    </row>
    <row r="212" spans="7:18" ht="12.75" customHeight="1" x14ac:dyDescent="0.25">
      <c r="G212" s="115"/>
      <c r="H212" s="114"/>
      <c r="I212" s="117"/>
      <c r="J212" s="117"/>
      <c r="K212" s="117"/>
      <c r="O212" s="2"/>
      <c r="P212" s="2"/>
      <c r="Q212" s="2"/>
      <c r="R212" s="2"/>
    </row>
    <row r="213" spans="7:18" ht="12.75" customHeight="1" x14ac:dyDescent="0.25">
      <c r="G213" s="115"/>
      <c r="H213" s="113"/>
      <c r="I213" s="114"/>
      <c r="J213" s="114"/>
      <c r="K213" s="114"/>
      <c r="O213" s="2"/>
      <c r="P213" s="2"/>
      <c r="Q213" s="2"/>
      <c r="R213" s="2"/>
    </row>
    <row r="214" spans="7:18" ht="12.75" customHeight="1" x14ac:dyDescent="0.25">
      <c r="G214" s="115"/>
      <c r="H214" s="113"/>
      <c r="I214" s="113"/>
      <c r="J214" s="113"/>
      <c r="K214" s="113"/>
      <c r="O214" s="2"/>
      <c r="P214" s="2"/>
      <c r="Q214" s="2"/>
      <c r="R214" s="2"/>
    </row>
    <row r="215" spans="7:18" ht="12.75" customHeight="1" x14ac:dyDescent="0.25">
      <c r="G215" s="112"/>
      <c r="H215" s="114"/>
      <c r="I215" s="113"/>
      <c r="J215" s="113"/>
      <c r="K215" s="113"/>
      <c r="O215" s="2"/>
      <c r="P215" s="2"/>
      <c r="Q215" s="2"/>
      <c r="R215" s="2"/>
    </row>
    <row r="216" spans="7:18" ht="12.75" customHeight="1" x14ac:dyDescent="0.25">
      <c r="G216" s="112"/>
      <c r="H216" s="114"/>
      <c r="I216" s="114"/>
      <c r="J216" s="114"/>
      <c r="K216" s="114"/>
      <c r="O216" s="2"/>
      <c r="P216" s="2"/>
      <c r="Q216" s="2"/>
      <c r="R216" s="2"/>
    </row>
    <row r="217" spans="7:18" ht="12.75" customHeight="1" x14ac:dyDescent="0.25">
      <c r="G217" s="2"/>
      <c r="H217" s="114"/>
      <c r="I217" s="114"/>
      <c r="J217" s="114"/>
      <c r="K217" s="114"/>
      <c r="O217" s="2"/>
      <c r="P217" s="2"/>
      <c r="Q217" s="2"/>
      <c r="R217" s="2"/>
    </row>
    <row r="218" spans="7:18" ht="12.75" customHeight="1" x14ac:dyDescent="0.25">
      <c r="G218" s="2"/>
      <c r="H218" s="114"/>
      <c r="I218" s="114"/>
      <c r="J218" s="114"/>
      <c r="K218" s="114"/>
      <c r="O218" s="2"/>
      <c r="P218" s="2"/>
      <c r="Q218" s="2"/>
      <c r="R218" s="2"/>
    </row>
    <row r="219" spans="7:18" ht="12.75" customHeight="1" x14ac:dyDescent="0.25">
      <c r="G219" s="2"/>
      <c r="H219" s="114"/>
      <c r="I219" s="114"/>
      <c r="J219" s="114"/>
      <c r="K219" s="114"/>
      <c r="O219" s="2"/>
      <c r="P219" s="2"/>
      <c r="Q219" s="2"/>
      <c r="R219" s="2"/>
    </row>
    <row r="220" spans="7:18" ht="12.75" customHeight="1" x14ac:dyDescent="0.25">
      <c r="G220" s="2"/>
      <c r="H220" s="114"/>
      <c r="I220" s="114"/>
      <c r="J220" s="114"/>
      <c r="K220" s="114"/>
      <c r="O220" s="2"/>
      <c r="P220" s="2"/>
      <c r="Q220" s="2"/>
      <c r="R220" s="2"/>
    </row>
    <row r="221" spans="7:18" ht="12.75" customHeight="1" x14ac:dyDescent="0.25">
      <c r="G221" s="2"/>
      <c r="H221" s="114"/>
      <c r="I221" s="114"/>
      <c r="J221" s="114"/>
      <c r="K221" s="114"/>
      <c r="O221" s="2"/>
      <c r="P221" s="2"/>
      <c r="Q221" s="2"/>
      <c r="R221" s="2"/>
    </row>
    <row r="222" spans="7:18" ht="12.75" customHeight="1" x14ac:dyDescent="0.25">
      <c r="G222" s="2"/>
      <c r="H222" s="114"/>
      <c r="I222" s="114"/>
      <c r="J222" s="114"/>
      <c r="K222" s="114"/>
      <c r="O222" s="2"/>
      <c r="P222" s="2"/>
      <c r="Q222" s="2"/>
      <c r="R222" s="2"/>
    </row>
    <row r="223" spans="7:18" ht="12.75" customHeight="1" x14ac:dyDescent="0.25">
      <c r="G223" s="119"/>
      <c r="H223" s="114"/>
      <c r="I223" s="114"/>
      <c r="J223" s="114"/>
      <c r="K223" s="114"/>
      <c r="O223" s="2"/>
      <c r="P223" s="2"/>
      <c r="Q223" s="2"/>
      <c r="R223" s="2"/>
    </row>
    <row r="224" spans="7:18" ht="12.75" customHeight="1" x14ac:dyDescent="0.25">
      <c r="G224" s="119"/>
      <c r="H224" s="114"/>
      <c r="I224" s="114"/>
      <c r="J224" s="114"/>
      <c r="K224" s="114"/>
      <c r="O224" s="2"/>
      <c r="P224" s="2"/>
      <c r="Q224" s="2"/>
      <c r="R224" s="2"/>
    </row>
    <row r="225" spans="7:18" ht="12.75" customHeight="1" x14ac:dyDescent="0.25">
      <c r="G225" s="119"/>
      <c r="H225" s="114"/>
      <c r="I225" s="114"/>
      <c r="J225" s="114"/>
      <c r="K225" s="114"/>
      <c r="O225" s="2"/>
      <c r="P225" s="2"/>
      <c r="Q225" s="2"/>
      <c r="R225" s="2"/>
    </row>
    <row r="226" spans="7:18" ht="12.75" customHeight="1" x14ac:dyDescent="0.25">
      <c r="G226" s="119"/>
      <c r="H226" s="114"/>
      <c r="I226" s="114"/>
      <c r="J226" s="114"/>
      <c r="K226" s="114"/>
      <c r="O226" s="2"/>
      <c r="P226" s="2"/>
      <c r="Q226" s="2"/>
      <c r="R226" s="2"/>
    </row>
    <row r="227" spans="7:18" ht="12.75" customHeight="1" x14ac:dyDescent="0.25">
      <c r="G227" s="122"/>
      <c r="H227" s="114"/>
      <c r="I227" s="114"/>
      <c r="J227" s="114"/>
      <c r="K227" s="114"/>
      <c r="O227" s="2"/>
      <c r="P227" s="2"/>
      <c r="Q227" s="2"/>
      <c r="R227" s="2"/>
    </row>
    <row r="228" spans="7:18" ht="12.75" customHeight="1" x14ac:dyDescent="0.25">
      <c r="G228" s="122"/>
      <c r="H228" s="114"/>
      <c r="I228" s="114"/>
      <c r="J228" s="114"/>
      <c r="K228" s="114"/>
      <c r="O228" s="2"/>
      <c r="P228" s="2"/>
      <c r="Q228" s="2"/>
      <c r="R228" s="2"/>
    </row>
    <row r="229" spans="7:18" ht="12.75" customHeight="1" x14ac:dyDescent="0.25">
      <c r="G229" s="112"/>
      <c r="H229" s="114"/>
      <c r="I229" s="114"/>
      <c r="J229" s="114"/>
      <c r="K229" s="114"/>
      <c r="O229" s="2"/>
      <c r="P229" s="2"/>
      <c r="Q229" s="2"/>
      <c r="R229" s="2"/>
    </row>
    <row r="230" spans="7:18" ht="12.75" customHeight="1" x14ac:dyDescent="0.25">
      <c r="G230" s="124"/>
      <c r="H230" s="114"/>
      <c r="I230" s="114"/>
      <c r="J230" s="114"/>
      <c r="K230" s="118"/>
      <c r="O230" s="2"/>
      <c r="P230" s="2"/>
      <c r="Q230" s="2"/>
      <c r="R230" s="2"/>
    </row>
    <row r="231" spans="7:18" ht="12.75" customHeight="1" x14ac:dyDescent="0.25">
      <c r="G231" s="124"/>
      <c r="H231" s="114"/>
      <c r="I231" s="114"/>
      <c r="J231" s="114"/>
      <c r="K231" s="114"/>
      <c r="O231" s="2"/>
      <c r="P231" s="2"/>
      <c r="Q231" s="2"/>
      <c r="R231" s="2"/>
    </row>
    <row r="232" spans="7:18" ht="12.75" customHeight="1" x14ac:dyDescent="0.25">
      <c r="G232" s="124"/>
      <c r="H232" s="114"/>
      <c r="I232" s="114"/>
      <c r="J232" s="114"/>
      <c r="K232" s="114"/>
      <c r="O232" s="2"/>
      <c r="P232" s="2"/>
      <c r="Q232" s="2"/>
      <c r="R232" s="2"/>
    </row>
    <row r="233" spans="7:18" ht="12.75" customHeight="1" x14ac:dyDescent="0.25">
      <c r="G233" s="2"/>
      <c r="H233" s="114"/>
      <c r="I233" s="114"/>
      <c r="J233" s="114"/>
      <c r="K233" s="114"/>
      <c r="O233" s="2"/>
      <c r="P233" s="2"/>
      <c r="Q233" s="2"/>
      <c r="R233" s="2"/>
    </row>
    <row r="234" spans="7:18" ht="12.75" customHeight="1" x14ac:dyDescent="0.25">
      <c r="G234" s="124"/>
      <c r="H234" s="2"/>
      <c r="I234" s="114"/>
      <c r="J234" s="114"/>
      <c r="K234" s="114"/>
      <c r="O234" s="2"/>
      <c r="P234" s="2"/>
      <c r="Q234" s="2"/>
      <c r="R234" s="2"/>
    </row>
    <row r="235" spans="7:18" ht="12.75" customHeight="1" x14ac:dyDescent="0.25">
      <c r="G235" s="124"/>
      <c r="H235" s="2"/>
      <c r="I235" s="2"/>
      <c r="J235" s="2"/>
      <c r="K235" s="2"/>
      <c r="O235" s="2"/>
      <c r="P235" s="2"/>
      <c r="Q235" s="2"/>
      <c r="R235" s="2"/>
    </row>
    <row r="236" spans="7:18" ht="12.75" customHeight="1" x14ac:dyDescent="0.25">
      <c r="G236" s="124"/>
      <c r="H236" s="2"/>
      <c r="I236" s="2"/>
      <c r="J236" s="2"/>
      <c r="K236" s="2"/>
      <c r="O236" s="2"/>
      <c r="P236" s="2"/>
      <c r="Q236" s="2"/>
      <c r="R236" s="2"/>
    </row>
    <row r="237" spans="7:18" ht="12.75" customHeight="1" x14ac:dyDescent="0.25">
      <c r="G237" s="124"/>
      <c r="H237" s="2"/>
      <c r="I237" s="2"/>
      <c r="J237" s="2"/>
      <c r="K237" s="2"/>
      <c r="O237" s="2"/>
      <c r="P237" s="2"/>
      <c r="Q237" s="2"/>
      <c r="R237" s="2"/>
    </row>
    <row r="238" spans="7:18" ht="12.75" customHeight="1" x14ac:dyDescent="0.25">
      <c r="G238" s="124"/>
      <c r="H238" s="2"/>
      <c r="I238" s="2"/>
      <c r="J238" s="2"/>
      <c r="K238" s="2"/>
      <c r="O238" s="2"/>
      <c r="P238" s="2"/>
      <c r="Q238" s="2"/>
      <c r="R238" s="2"/>
    </row>
    <row r="239" spans="7:18" ht="12.75" customHeight="1" x14ac:dyDescent="0.25">
      <c r="G239" s="124"/>
      <c r="H239" s="2"/>
      <c r="I239" s="2"/>
      <c r="J239" s="2"/>
      <c r="K239" s="2"/>
      <c r="O239" s="2"/>
      <c r="P239" s="2"/>
      <c r="Q239" s="2"/>
      <c r="R239" s="2"/>
    </row>
    <row r="240" spans="7:18" ht="12.75" customHeight="1" x14ac:dyDescent="0.25">
      <c r="G240" s="124"/>
      <c r="H240" s="120"/>
      <c r="I240" s="2"/>
      <c r="J240" s="2"/>
      <c r="K240" s="2"/>
      <c r="O240" s="2"/>
      <c r="P240" s="2"/>
      <c r="Q240" s="2"/>
      <c r="R240" s="2"/>
    </row>
    <row r="241" spans="7:18" ht="12.75" customHeight="1" x14ac:dyDescent="0.25">
      <c r="G241" s="124"/>
      <c r="H241" s="120"/>
      <c r="I241" s="120"/>
      <c r="J241" s="120"/>
      <c r="K241" s="119"/>
      <c r="O241" s="2"/>
      <c r="P241" s="2"/>
      <c r="Q241" s="2"/>
      <c r="R241" s="2"/>
    </row>
    <row r="242" spans="7:18" ht="12.75" customHeight="1" x14ac:dyDescent="0.25">
      <c r="G242" s="124"/>
      <c r="H242" s="121"/>
      <c r="I242" s="120"/>
      <c r="J242" s="120"/>
      <c r="K242" s="119"/>
      <c r="O242" s="2"/>
      <c r="P242" s="2"/>
      <c r="Q242" s="2"/>
      <c r="R242" s="2"/>
    </row>
    <row r="243" spans="7:18" ht="12.75" customHeight="1" x14ac:dyDescent="0.25">
      <c r="G243" s="124"/>
      <c r="H243" s="121"/>
      <c r="I243" s="121"/>
      <c r="J243" s="121"/>
      <c r="K243" s="119"/>
      <c r="O243" s="2"/>
      <c r="P243" s="2"/>
      <c r="Q243" s="2"/>
      <c r="R243" s="2"/>
    </row>
    <row r="244" spans="7:18" ht="12.75" customHeight="1" x14ac:dyDescent="0.25">
      <c r="G244" s="124"/>
      <c r="H244" s="123"/>
      <c r="I244" s="121"/>
      <c r="J244" s="121"/>
      <c r="K244" s="119"/>
      <c r="O244" s="2"/>
      <c r="P244" s="2"/>
      <c r="Q244" s="2"/>
      <c r="R244" s="2"/>
    </row>
    <row r="245" spans="7:18" ht="12.75" customHeight="1" x14ac:dyDescent="0.25">
      <c r="G245" s="122"/>
      <c r="H245" s="113"/>
      <c r="I245" s="123"/>
      <c r="J245" s="123"/>
      <c r="K245" s="123"/>
      <c r="O245" s="2"/>
      <c r="P245" s="2"/>
      <c r="Q245" s="2"/>
      <c r="R245" s="2"/>
    </row>
    <row r="246" spans="7:18" ht="12.75" customHeight="1" x14ac:dyDescent="0.25">
      <c r="G246" s="2"/>
      <c r="H246" s="113"/>
      <c r="I246" s="113"/>
      <c r="J246" s="113"/>
      <c r="K246" s="123"/>
      <c r="O246" s="2"/>
      <c r="P246" s="2"/>
      <c r="Q246" s="2"/>
      <c r="R246" s="2"/>
    </row>
    <row r="247" spans="7:18" ht="12.75" customHeight="1" x14ac:dyDescent="0.25">
      <c r="G247" s="2"/>
      <c r="H247" s="123"/>
      <c r="I247" s="113"/>
      <c r="J247" s="113"/>
      <c r="K247" s="113"/>
      <c r="O247" s="2"/>
      <c r="P247" s="2"/>
      <c r="Q247" s="2"/>
      <c r="R247" s="2"/>
    </row>
    <row r="248" spans="7:18" ht="12.75" customHeight="1" x14ac:dyDescent="0.25">
      <c r="G248" s="2"/>
      <c r="H248" s="123"/>
      <c r="I248" s="123"/>
      <c r="J248" s="123"/>
      <c r="K248" s="125"/>
      <c r="O248" s="2"/>
      <c r="P248" s="2"/>
      <c r="Q248" s="2"/>
      <c r="R248" s="2"/>
    </row>
    <row r="249" spans="7:18" ht="12.75" customHeight="1" x14ac:dyDescent="0.25">
      <c r="G249" s="2"/>
      <c r="H249" s="123"/>
      <c r="I249" s="123"/>
      <c r="J249" s="123"/>
      <c r="K249" s="123"/>
      <c r="O249" s="2"/>
      <c r="P249" s="2"/>
      <c r="Q249" s="2"/>
      <c r="R249" s="2"/>
    </row>
    <row r="250" spans="7:18" ht="12.75" customHeight="1" x14ac:dyDescent="0.25">
      <c r="G250" s="2"/>
      <c r="H250" s="123"/>
      <c r="I250" s="123"/>
      <c r="J250" s="123"/>
      <c r="K250" s="126"/>
      <c r="O250" s="2"/>
      <c r="P250" s="2"/>
      <c r="Q250" s="2"/>
      <c r="R250" s="2"/>
    </row>
    <row r="251" spans="7:18" ht="12.75" customHeight="1" x14ac:dyDescent="0.25">
      <c r="G251" s="2"/>
      <c r="H251" s="123"/>
      <c r="I251" s="123"/>
      <c r="J251" s="123"/>
      <c r="K251" s="123"/>
      <c r="O251" s="2"/>
      <c r="P251" s="2"/>
      <c r="Q251" s="2"/>
      <c r="R251" s="2"/>
    </row>
    <row r="252" spans="7:18" ht="12.75" customHeight="1" x14ac:dyDescent="0.25">
      <c r="G252" s="2"/>
      <c r="H252" s="123"/>
      <c r="I252" s="123"/>
      <c r="J252" s="123"/>
      <c r="K252" s="126"/>
      <c r="O252" s="2"/>
      <c r="P252" s="2"/>
      <c r="Q252" s="2"/>
      <c r="R252" s="2"/>
    </row>
    <row r="253" spans="7:18" ht="12.75" customHeight="1" x14ac:dyDescent="0.25">
      <c r="G253" s="2"/>
      <c r="H253" s="123"/>
      <c r="I253" s="123"/>
      <c r="J253" s="123"/>
      <c r="K253" s="126"/>
      <c r="O253" s="2"/>
      <c r="P253" s="2"/>
      <c r="Q253" s="2"/>
      <c r="R253" s="2"/>
    </row>
    <row r="254" spans="7:18" ht="12.75" customHeight="1" x14ac:dyDescent="0.25">
      <c r="G254" s="2"/>
      <c r="H254" s="123"/>
      <c r="I254" s="123"/>
      <c r="J254" s="123"/>
      <c r="K254" s="126"/>
      <c r="O254" s="2"/>
      <c r="P254" s="2"/>
      <c r="Q254" s="2"/>
      <c r="R254" s="2"/>
    </row>
    <row r="255" spans="7:18" ht="12.75" customHeight="1" x14ac:dyDescent="0.25">
      <c r="G255" s="2"/>
      <c r="H255" s="123"/>
      <c r="I255" s="123"/>
      <c r="J255" s="123"/>
      <c r="K255" s="123"/>
      <c r="O255" s="2"/>
      <c r="P255" s="2"/>
      <c r="Q255" s="2"/>
      <c r="R255" s="2"/>
    </row>
    <row r="256" spans="7:18" ht="12.75" customHeight="1" x14ac:dyDescent="0.25">
      <c r="G256" s="2"/>
      <c r="H256" s="123"/>
      <c r="I256" s="123"/>
      <c r="J256" s="123"/>
      <c r="K256" s="125"/>
      <c r="O256" s="2"/>
      <c r="P256" s="2"/>
      <c r="Q256" s="2"/>
      <c r="R256" s="2"/>
    </row>
    <row r="257" spans="7:18" ht="12.75" customHeight="1" x14ac:dyDescent="0.25">
      <c r="G257" s="2"/>
      <c r="H257" s="123"/>
      <c r="I257" s="123"/>
      <c r="J257" s="123"/>
      <c r="K257" s="123"/>
      <c r="O257" s="2"/>
      <c r="P257" s="2"/>
      <c r="Q257" s="2"/>
      <c r="R257" s="2"/>
    </row>
    <row r="258" spans="7:18" ht="12.75" customHeight="1" x14ac:dyDescent="0.25">
      <c r="G258" s="2"/>
      <c r="H258" s="123"/>
      <c r="I258" s="123"/>
      <c r="J258" s="123"/>
      <c r="K258" s="127"/>
      <c r="O258" s="2"/>
      <c r="P258" s="2"/>
      <c r="Q258" s="2"/>
      <c r="R258" s="2"/>
    </row>
    <row r="259" spans="7:18" ht="12.75" customHeight="1" x14ac:dyDescent="0.25">
      <c r="G259" s="2"/>
      <c r="H259" s="123"/>
      <c r="I259" s="123"/>
      <c r="J259" s="123"/>
      <c r="K259" s="123"/>
      <c r="O259" s="2"/>
      <c r="P259" s="2"/>
      <c r="Q259" s="2"/>
      <c r="R259" s="2"/>
    </row>
    <row r="260" spans="7:18" ht="12.75" customHeight="1" x14ac:dyDescent="0.25">
      <c r="G260" s="2"/>
      <c r="H260" s="123"/>
      <c r="I260" s="123"/>
      <c r="J260" s="123"/>
      <c r="K260" s="125"/>
      <c r="O260" s="2"/>
      <c r="P260" s="2"/>
      <c r="Q260" s="2"/>
      <c r="R260" s="2"/>
    </row>
    <row r="261" spans="7:18" ht="12.75" customHeight="1" x14ac:dyDescent="0.25">
      <c r="G261" s="2"/>
      <c r="H261" s="123"/>
      <c r="I261" s="123"/>
      <c r="J261" s="123"/>
      <c r="K261" s="123"/>
      <c r="O261" s="2"/>
      <c r="P261" s="2"/>
      <c r="Q261" s="2"/>
      <c r="R261" s="2"/>
    </row>
    <row r="262" spans="7:18" ht="12.75" customHeight="1" x14ac:dyDescent="0.25">
      <c r="G262" s="2"/>
      <c r="H262" s="123"/>
      <c r="I262" s="123"/>
      <c r="J262" s="123"/>
      <c r="K262" s="128"/>
      <c r="O262" s="2"/>
      <c r="P262" s="2"/>
      <c r="Q262" s="2"/>
      <c r="R262" s="2"/>
    </row>
    <row r="263" spans="7:18" ht="12.75" customHeight="1" x14ac:dyDescent="0.25">
      <c r="G263" s="2"/>
      <c r="H263" s="2"/>
      <c r="I263" s="123"/>
      <c r="J263" s="123"/>
      <c r="K263" s="123"/>
      <c r="O263" s="2"/>
      <c r="P263" s="2"/>
      <c r="Q263" s="2"/>
      <c r="R263" s="2"/>
    </row>
    <row r="264" spans="7:18" ht="12.75" customHeight="1" x14ac:dyDescent="0.25">
      <c r="G264" s="2"/>
      <c r="H264" s="2"/>
      <c r="I264" s="2"/>
      <c r="J264" s="2"/>
      <c r="K264" s="2"/>
      <c r="O264" s="2"/>
      <c r="P264" s="2"/>
      <c r="Q264" s="2"/>
      <c r="R264" s="2"/>
    </row>
    <row r="265" spans="7:18" ht="12.75" customHeight="1" x14ac:dyDescent="0.25">
      <c r="G265" s="2"/>
      <c r="H265" s="2"/>
      <c r="I265" s="2"/>
      <c r="J265" s="2"/>
      <c r="K265" s="2"/>
      <c r="O265" s="2"/>
      <c r="P265" s="2"/>
      <c r="Q265" s="2"/>
      <c r="R265" s="2"/>
    </row>
    <row r="266" spans="7:18" ht="12.75" customHeight="1" x14ac:dyDescent="0.25">
      <c r="G266" s="2"/>
      <c r="H266" s="2"/>
      <c r="I266" s="2"/>
      <c r="J266" s="2"/>
      <c r="K266" s="2"/>
      <c r="O266" s="2"/>
      <c r="P266" s="2"/>
      <c r="Q266" s="2"/>
      <c r="R266" s="2"/>
    </row>
    <row r="267" spans="7:18" ht="12.75" customHeight="1" x14ac:dyDescent="0.25">
      <c r="G267" s="2"/>
      <c r="H267" s="2"/>
      <c r="I267" s="2"/>
      <c r="J267" s="2"/>
      <c r="K267" s="2"/>
      <c r="O267" s="2"/>
      <c r="P267" s="2"/>
      <c r="Q267" s="2"/>
      <c r="R267" s="2"/>
    </row>
    <row r="268" spans="7:18" ht="12.75" customHeight="1" x14ac:dyDescent="0.25">
      <c r="G268" s="2"/>
      <c r="H268" s="2"/>
      <c r="I268" s="2"/>
      <c r="J268" s="2"/>
      <c r="K268" s="2"/>
      <c r="O268" s="2"/>
      <c r="P268" s="2"/>
      <c r="Q268" s="2"/>
      <c r="R268" s="2"/>
    </row>
    <row r="269" spans="7:18" ht="12.75" customHeight="1" x14ac:dyDescent="0.25">
      <c r="G269" s="2"/>
      <c r="H269" s="2"/>
      <c r="I269" s="2"/>
      <c r="J269" s="2"/>
      <c r="K269" s="2"/>
      <c r="O269" s="2"/>
      <c r="P269" s="2"/>
      <c r="Q269" s="2"/>
      <c r="R269" s="2"/>
    </row>
    <row r="270" spans="7:18" ht="12.75" customHeight="1" x14ac:dyDescent="0.25">
      <c r="G270" s="2"/>
      <c r="H270" s="2"/>
      <c r="I270" s="2"/>
      <c r="J270" s="2"/>
      <c r="K270" s="2"/>
      <c r="O270" s="2"/>
      <c r="P270" s="2"/>
      <c r="Q270" s="2"/>
      <c r="R270" s="2"/>
    </row>
    <row r="271" spans="7:18" ht="12.75" customHeight="1" x14ac:dyDescent="0.25">
      <c r="G271" s="2"/>
      <c r="H271" s="2"/>
      <c r="I271" s="2"/>
      <c r="J271" s="2"/>
      <c r="K271" s="2"/>
      <c r="O271" s="2"/>
      <c r="P271" s="2"/>
      <c r="Q271" s="2"/>
      <c r="R271" s="2"/>
    </row>
    <row r="272" spans="7:18" ht="12.75" customHeight="1" x14ac:dyDescent="0.25">
      <c r="G272" s="2"/>
      <c r="H272" s="2"/>
      <c r="I272" s="2"/>
      <c r="J272" s="2"/>
      <c r="K272" s="2"/>
      <c r="O272" s="2"/>
      <c r="P272" s="2"/>
      <c r="Q272" s="2"/>
      <c r="R272" s="2"/>
    </row>
    <row r="273" spans="7:18" ht="12.75" customHeight="1" x14ac:dyDescent="0.25">
      <c r="G273" s="2"/>
      <c r="H273" s="2"/>
      <c r="I273" s="2"/>
      <c r="J273" s="2"/>
      <c r="K273" s="2"/>
      <c r="O273" s="2"/>
      <c r="P273" s="2"/>
      <c r="Q273" s="2"/>
      <c r="R273" s="2"/>
    </row>
    <row r="274" spans="7:18" ht="12.75" customHeight="1" x14ac:dyDescent="0.25">
      <c r="G274" s="2"/>
      <c r="H274" s="2"/>
      <c r="I274" s="2"/>
      <c r="J274" s="2"/>
      <c r="K274" s="2"/>
      <c r="O274" s="2"/>
      <c r="P274" s="2"/>
      <c r="Q274" s="2"/>
      <c r="R274" s="2"/>
    </row>
    <row r="275" spans="7:18" ht="12.75" customHeight="1" x14ac:dyDescent="0.25">
      <c r="G275" s="2"/>
      <c r="H275" s="2"/>
      <c r="I275" s="2"/>
      <c r="J275" s="2"/>
      <c r="K275" s="2"/>
      <c r="O275" s="2"/>
      <c r="P275" s="2"/>
      <c r="Q275" s="2"/>
      <c r="R275" s="2"/>
    </row>
    <row r="276" spans="7:18" ht="12.75" customHeight="1" x14ac:dyDescent="0.25">
      <c r="G276" s="2"/>
      <c r="H276" s="2"/>
      <c r="I276" s="2"/>
      <c r="J276" s="2"/>
      <c r="K276" s="2"/>
      <c r="O276" s="2"/>
      <c r="P276" s="2"/>
      <c r="Q276" s="2"/>
      <c r="R276" s="2"/>
    </row>
    <row r="277" spans="7:18" ht="12.75" customHeight="1" x14ac:dyDescent="0.25">
      <c r="G277" s="2"/>
      <c r="H277" s="2"/>
      <c r="I277" s="2"/>
      <c r="J277" s="2"/>
      <c r="K277" s="2"/>
      <c r="O277" s="2"/>
      <c r="P277" s="2"/>
      <c r="Q277" s="2"/>
      <c r="R277" s="2"/>
    </row>
    <row r="278" spans="7:18" ht="12.75" customHeight="1" x14ac:dyDescent="0.25">
      <c r="G278" s="2"/>
      <c r="H278" s="2"/>
      <c r="I278" s="2"/>
      <c r="J278" s="2"/>
      <c r="K278" s="2"/>
      <c r="O278" s="2"/>
      <c r="P278" s="2"/>
      <c r="Q278" s="2"/>
      <c r="R278" s="2"/>
    </row>
    <row r="279" spans="7:18" ht="12.75" customHeight="1" x14ac:dyDescent="0.25">
      <c r="G279" s="2"/>
      <c r="H279" s="2"/>
      <c r="I279" s="2"/>
      <c r="J279" s="2"/>
      <c r="K279" s="2"/>
      <c r="O279" s="2"/>
      <c r="P279" s="2"/>
      <c r="Q279" s="2"/>
      <c r="R279" s="2"/>
    </row>
    <row r="280" spans="7:18" ht="12.75" customHeight="1" x14ac:dyDescent="0.25">
      <c r="H280" s="2"/>
      <c r="I280" s="2"/>
      <c r="J280" s="2"/>
      <c r="K280" s="2"/>
      <c r="O280" s="2"/>
      <c r="P280" s="2"/>
      <c r="Q280" s="2"/>
      <c r="R280" s="2"/>
    </row>
    <row r="281" spans="7:18" ht="12.75" customHeight="1" x14ac:dyDescent="0.25">
      <c r="H281" s="2"/>
      <c r="I281" s="2"/>
      <c r="J281" s="2"/>
      <c r="K281" s="2"/>
      <c r="O281" s="2"/>
      <c r="P281" s="2"/>
      <c r="Q281" s="2"/>
      <c r="R281" s="2"/>
    </row>
    <row r="282" spans="7:18" ht="12.75" customHeight="1" x14ac:dyDescent="0.25">
      <c r="H282" s="2"/>
      <c r="I282" s="2"/>
      <c r="J282" s="2"/>
      <c r="K282" s="2"/>
      <c r="O282" s="2"/>
      <c r="P282" s="2"/>
      <c r="Q282" s="2"/>
      <c r="R282" s="2"/>
    </row>
    <row r="283" spans="7:18" ht="12.75" customHeight="1" x14ac:dyDescent="0.25">
      <c r="H283" s="2"/>
      <c r="I283" s="2"/>
      <c r="J283" s="2"/>
      <c r="K283" s="2"/>
      <c r="O283" s="2"/>
      <c r="P283" s="2"/>
      <c r="Q283" s="2"/>
      <c r="R283" s="2"/>
    </row>
    <row r="284" spans="7:18" ht="12.75" customHeight="1" x14ac:dyDescent="0.25">
      <c r="H284" s="2"/>
      <c r="I284" s="2"/>
      <c r="J284" s="2"/>
      <c r="K284" s="2"/>
      <c r="O284" s="2"/>
      <c r="P284" s="2"/>
      <c r="Q284" s="2"/>
      <c r="R284" s="2"/>
    </row>
    <row r="285" spans="7:18" ht="12.75" customHeight="1" x14ac:dyDescent="0.25">
      <c r="H285" s="2"/>
      <c r="I285" s="2"/>
      <c r="J285" s="2"/>
      <c r="K285" s="2"/>
      <c r="O285" s="2"/>
      <c r="P285" s="2"/>
      <c r="Q285" s="2"/>
      <c r="R285" s="2"/>
    </row>
    <row r="286" spans="7:18" ht="12.75" customHeight="1" x14ac:dyDescent="0.25">
      <c r="H286" s="2"/>
      <c r="I286" s="2"/>
      <c r="J286" s="2"/>
      <c r="K286" s="2"/>
      <c r="O286" s="2"/>
      <c r="P286" s="2"/>
      <c r="Q286" s="2"/>
      <c r="R286" s="2"/>
    </row>
    <row r="287" spans="7:18" ht="12.75" customHeight="1" x14ac:dyDescent="0.25">
      <c r="H287" s="2"/>
      <c r="I287" s="2"/>
      <c r="J287" s="2"/>
      <c r="K287" s="2"/>
      <c r="O287" s="2"/>
      <c r="P287" s="2"/>
      <c r="Q287" s="2"/>
      <c r="R287" s="2"/>
    </row>
    <row r="288" spans="7:18" ht="12.75" customHeight="1" x14ac:dyDescent="0.25">
      <c r="H288" s="2"/>
      <c r="I288" s="2"/>
      <c r="J288" s="2"/>
      <c r="K288" s="2"/>
      <c r="O288" s="2"/>
      <c r="P288" s="2"/>
      <c r="Q288" s="2"/>
      <c r="R288" s="2"/>
    </row>
    <row r="289" spans="8:18" ht="12.75" customHeight="1" x14ac:dyDescent="0.25">
      <c r="H289" s="2"/>
      <c r="I289" s="2"/>
      <c r="J289" s="2"/>
      <c r="K289" s="2"/>
      <c r="O289" s="2"/>
      <c r="P289" s="2"/>
      <c r="Q289" s="2"/>
      <c r="R289" s="2"/>
    </row>
    <row r="290" spans="8:18" ht="12.75" customHeight="1" x14ac:dyDescent="0.25">
      <c r="H290" s="2"/>
      <c r="I290" s="2"/>
      <c r="J290" s="2"/>
      <c r="K290" s="2"/>
      <c r="O290" s="2"/>
      <c r="P290" s="2"/>
      <c r="Q290" s="2"/>
      <c r="R290" s="2"/>
    </row>
    <row r="291" spans="8:18" ht="12.75" customHeight="1" x14ac:dyDescent="0.25">
      <c r="H291" s="2"/>
      <c r="I291" s="2"/>
      <c r="J291" s="2"/>
      <c r="K291" s="2"/>
      <c r="O291" s="2"/>
      <c r="P291" s="2"/>
      <c r="Q291" s="2"/>
      <c r="R291" s="2"/>
    </row>
    <row r="292" spans="8:18" ht="12.75" customHeight="1" x14ac:dyDescent="0.25">
      <c r="H292" s="2"/>
      <c r="I292" s="2"/>
      <c r="J292" s="2"/>
      <c r="K292" s="2"/>
      <c r="O292" s="2"/>
      <c r="P292" s="2"/>
      <c r="Q292" s="2"/>
      <c r="R292" s="2"/>
    </row>
    <row r="293" spans="8:18" ht="12.75" customHeight="1" x14ac:dyDescent="0.25">
      <c r="H293" s="2"/>
      <c r="I293" s="2"/>
      <c r="J293" s="2"/>
      <c r="K293" s="2"/>
      <c r="O293" s="2"/>
      <c r="P293" s="2"/>
      <c r="Q293" s="2"/>
      <c r="R293" s="2"/>
    </row>
    <row r="294" spans="8:18" ht="12.75" customHeight="1" x14ac:dyDescent="0.25">
      <c r="H294" s="2"/>
      <c r="I294" s="2"/>
      <c r="J294" s="2"/>
      <c r="K294" s="2"/>
      <c r="O294" s="2"/>
      <c r="P294" s="2"/>
      <c r="Q294" s="2"/>
      <c r="R294" s="2"/>
    </row>
    <row r="295" spans="8:18" ht="12.75" customHeight="1" x14ac:dyDescent="0.25">
      <c r="H295" s="2"/>
      <c r="I295" s="2"/>
      <c r="J295" s="2"/>
      <c r="K295" s="2"/>
      <c r="O295" s="2"/>
      <c r="P295" s="2"/>
      <c r="Q295" s="2"/>
      <c r="R295" s="2"/>
    </row>
    <row r="296" spans="8:18" ht="12.75" customHeight="1" x14ac:dyDescent="0.25">
      <c r="H296" s="2"/>
      <c r="I296" s="2"/>
      <c r="J296" s="2"/>
      <c r="K296" s="2"/>
      <c r="O296" s="2"/>
      <c r="P296" s="2"/>
      <c r="Q296" s="2"/>
      <c r="R296" s="2"/>
    </row>
    <row r="297" spans="8:18" ht="12.75" customHeight="1" x14ac:dyDescent="0.25">
      <c r="I297" s="2"/>
      <c r="J297" s="2"/>
      <c r="K297" s="2"/>
      <c r="O297" s="2"/>
      <c r="P297" s="2"/>
      <c r="Q297" s="2"/>
      <c r="R297" s="2"/>
    </row>
    <row r="298" spans="8:18" ht="12.75" customHeight="1" x14ac:dyDescent="0.25">
      <c r="O298" s="2"/>
      <c r="P298" s="2"/>
      <c r="Q298" s="2"/>
      <c r="R298" s="2"/>
    </row>
    <row r="299" spans="8:18" ht="12.75" customHeight="1" x14ac:dyDescent="0.25">
      <c r="O299" s="2"/>
      <c r="P299" s="2"/>
      <c r="Q299" s="2"/>
      <c r="R299" s="2"/>
    </row>
    <row r="300" spans="8:18" ht="12.75" customHeight="1" x14ac:dyDescent="0.25">
      <c r="O300" s="2"/>
      <c r="P300" s="2"/>
      <c r="Q300" s="2"/>
      <c r="R300" s="2"/>
    </row>
    <row r="301" spans="8:18" ht="12.75" customHeight="1" x14ac:dyDescent="0.25">
      <c r="O301" s="2"/>
      <c r="P301" s="2"/>
      <c r="Q301" s="2"/>
      <c r="R301" s="2"/>
    </row>
    <row r="302" spans="8:18" ht="12.75" customHeight="1" x14ac:dyDescent="0.25">
      <c r="O302" s="2"/>
      <c r="P302" s="2"/>
      <c r="Q302" s="2"/>
      <c r="R302" s="2"/>
    </row>
    <row r="303" spans="8:18" ht="12.75" customHeight="1" x14ac:dyDescent="0.25">
      <c r="O303" s="2"/>
      <c r="P303" s="2"/>
      <c r="Q303" s="2"/>
      <c r="R303" s="2"/>
    </row>
    <row r="304" spans="8:18" ht="12.75" customHeight="1" x14ac:dyDescent="0.25">
      <c r="O304" s="2"/>
      <c r="P304" s="2"/>
      <c r="Q304" s="2"/>
      <c r="R304" s="2"/>
    </row>
    <row r="305" spans="15:18" ht="12.75" customHeight="1" x14ac:dyDescent="0.25">
      <c r="O305" s="2"/>
      <c r="P305" s="2"/>
      <c r="Q305" s="2"/>
      <c r="R305" s="2"/>
    </row>
    <row r="306" spans="15:18" ht="12.75" customHeight="1" x14ac:dyDescent="0.25">
      <c r="O306" s="2"/>
      <c r="P306" s="2"/>
      <c r="Q306" s="2"/>
      <c r="R306" s="2"/>
    </row>
    <row r="307" spans="15:18" ht="12.75" customHeight="1" x14ac:dyDescent="0.25">
      <c r="O307" s="2"/>
      <c r="P307" s="2"/>
      <c r="Q307" s="2"/>
      <c r="R307" s="2"/>
    </row>
    <row r="308" spans="15:18" ht="12.75" customHeight="1" x14ac:dyDescent="0.25">
      <c r="O308" s="2"/>
      <c r="P308" s="2"/>
      <c r="Q308" s="2"/>
      <c r="R308" s="2"/>
    </row>
    <row r="309" spans="15:18" ht="12.75" customHeight="1" x14ac:dyDescent="0.25">
      <c r="O309" s="2"/>
      <c r="P309" s="2"/>
      <c r="Q309" s="2"/>
      <c r="R309" s="2"/>
    </row>
    <row r="310" spans="15:18" ht="12.75" customHeight="1" x14ac:dyDescent="0.25">
      <c r="O310" s="2"/>
      <c r="P310" s="2"/>
      <c r="Q310" s="2"/>
      <c r="R310" s="2"/>
    </row>
    <row r="311" spans="15:18" ht="12.75" customHeight="1" x14ac:dyDescent="0.25">
      <c r="O311" s="2"/>
      <c r="P311" s="2"/>
      <c r="Q311" s="2"/>
      <c r="R311" s="2"/>
    </row>
    <row r="312" spans="15:18" ht="12.75" customHeight="1" x14ac:dyDescent="0.25">
      <c r="O312" s="2"/>
      <c r="P312" s="2"/>
      <c r="Q312" s="2"/>
      <c r="R312" s="2"/>
    </row>
    <row r="313" spans="15:18" ht="12.75" customHeight="1" x14ac:dyDescent="0.25">
      <c r="O313" s="2"/>
      <c r="P313" s="2"/>
      <c r="Q313" s="2"/>
      <c r="R313" s="2"/>
    </row>
    <row r="314" spans="15:18" ht="12.75" customHeight="1" x14ac:dyDescent="0.25">
      <c r="O314" s="2"/>
      <c r="P314" s="2"/>
      <c r="Q314" s="2"/>
      <c r="R314" s="2"/>
    </row>
    <row r="315" spans="15:18" ht="12.75" customHeight="1" x14ac:dyDescent="0.25">
      <c r="O315" s="2"/>
      <c r="P315" s="2"/>
      <c r="Q315" s="2"/>
      <c r="R315" s="2"/>
    </row>
    <row r="316" spans="15:18" ht="12.75" customHeight="1" x14ac:dyDescent="0.25">
      <c r="O316" s="2"/>
      <c r="P316" s="2"/>
      <c r="Q316" s="2"/>
      <c r="R316" s="2"/>
    </row>
    <row r="317" spans="15:18" ht="12.75" customHeight="1" x14ac:dyDescent="0.25">
      <c r="O317" s="2"/>
      <c r="P317" s="2"/>
      <c r="Q317" s="2"/>
      <c r="R317" s="2"/>
    </row>
    <row r="318" spans="15:18" ht="12.75" customHeight="1" x14ac:dyDescent="0.25">
      <c r="O318" s="2"/>
      <c r="P318" s="2"/>
      <c r="Q318" s="2"/>
      <c r="R318" s="2"/>
    </row>
    <row r="319" spans="15:18" ht="12.75" customHeight="1" x14ac:dyDescent="0.25">
      <c r="O319" s="2"/>
      <c r="P319" s="2"/>
      <c r="Q319" s="2"/>
      <c r="R319" s="2"/>
    </row>
    <row r="320" spans="15:18" ht="12.75" customHeight="1" x14ac:dyDescent="0.25">
      <c r="O320" s="2"/>
      <c r="P320" s="2"/>
      <c r="Q320" s="2"/>
      <c r="R320" s="2"/>
    </row>
    <row r="321" spans="15:18" ht="12.75" customHeight="1" x14ac:dyDescent="0.25">
      <c r="O321" s="2"/>
      <c r="P321" s="2"/>
      <c r="Q321" s="2"/>
      <c r="R321" s="2"/>
    </row>
    <row r="322" spans="15:18" ht="12.75" customHeight="1" x14ac:dyDescent="0.25">
      <c r="O322" s="2"/>
      <c r="P322" s="2"/>
      <c r="Q322" s="2"/>
      <c r="R322" s="2"/>
    </row>
    <row r="323" spans="15:18" ht="12.75" customHeight="1" x14ac:dyDescent="0.25">
      <c r="O323" s="2"/>
      <c r="P323" s="2"/>
      <c r="Q323" s="2"/>
      <c r="R323" s="2"/>
    </row>
    <row r="324" spans="15:18" ht="12.75" customHeight="1" x14ac:dyDescent="0.25">
      <c r="O324" s="2"/>
      <c r="P324" s="2"/>
      <c r="Q324" s="2"/>
      <c r="R324" s="2"/>
    </row>
    <row r="325" spans="15:18" ht="12.75" customHeight="1" x14ac:dyDescent="0.25">
      <c r="O325" s="2"/>
      <c r="P325" s="2"/>
      <c r="Q325" s="2"/>
      <c r="R325" s="2"/>
    </row>
    <row r="326" spans="15:18" ht="12.75" customHeight="1" x14ac:dyDescent="0.25">
      <c r="O326" s="2"/>
      <c r="P326" s="2"/>
      <c r="Q326" s="2"/>
      <c r="R326" s="2"/>
    </row>
    <row r="327" spans="15:18" ht="12.75" customHeight="1" x14ac:dyDescent="0.25">
      <c r="O327" s="2"/>
      <c r="P327" s="2"/>
      <c r="Q327" s="2"/>
      <c r="R327" s="2"/>
    </row>
    <row r="328" spans="15:18" ht="12.75" customHeight="1" x14ac:dyDescent="0.25">
      <c r="O328" s="2"/>
      <c r="P328" s="2"/>
      <c r="Q328" s="2"/>
      <c r="R328" s="2"/>
    </row>
    <row r="329" spans="15:18" ht="12.75" customHeight="1" x14ac:dyDescent="0.25">
      <c r="O329" s="2"/>
      <c r="P329" s="2"/>
      <c r="Q329" s="2"/>
      <c r="R329" s="2"/>
    </row>
    <row r="330" spans="15:18" ht="12.75" customHeight="1" x14ac:dyDescent="0.25">
      <c r="O330" s="2"/>
      <c r="P330" s="2"/>
      <c r="Q330" s="2"/>
      <c r="R330" s="2"/>
    </row>
    <row r="331" spans="15:18" ht="12.75" customHeight="1" x14ac:dyDescent="0.25">
      <c r="O331" s="2"/>
      <c r="P331" s="2"/>
      <c r="Q331" s="2"/>
      <c r="R331" s="2"/>
    </row>
    <row r="332" spans="15:18" ht="12.75" customHeight="1" x14ac:dyDescent="0.25">
      <c r="O332" s="2"/>
      <c r="P332" s="2"/>
      <c r="Q332" s="2"/>
      <c r="R332" s="2"/>
    </row>
    <row r="333" spans="15:18" ht="12.75" customHeight="1" x14ac:dyDescent="0.25">
      <c r="O333" s="2"/>
      <c r="P333" s="2"/>
      <c r="Q333" s="2"/>
      <c r="R333" s="2"/>
    </row>
    <row r="334" spans="15:18" ht="12.75" customHeight="1" x14ac:dyDescent="0.25">
      <c r="O334" s="2"/>
      <c r="P334" s="2"/>
      <c r="Q334" s="2"/>
      <c r="R334" s="2"/>
    </row>
    <row r="335" spans="15:18" ht="12.75" customHeight="1" x14ac:dyDescent="0.25">
      <c r="O335" s="2"/>
      <c r="P335" s="2"/>
      <c r="Q335" s="2"/>
      <c r="R335" s="2"/>
    </row>
    <row r="336" spans="15:18" ht="12.75" customHeight="1" x14ac:dyDescent="0.25">
      <c r="O336" s="2"/>
      <c r="P336" s="2"/>
      <c r="Q336" s="2"/>
      <c r="R336" s="2"/>
    </row>
    <row r="337" spans="15:18" ht="12.75" customHeight="1" x14ac:dyDescent="0.25">
      <c r="O337" s="2"/>
      <c r="P337" s="2"/>
      <c r="Q337" s="2"/>
      <c r="R337" s="2"/>
    </row>
    <row r="338" spans="15:18" ht="12.75" customHeight="1" x14ac:dyDescent="0.25">
      <c r="O338" s="2"/>
      <c r="P338" s="2"/>
      <c r="Q338" s="2"/>
      <c r="R338" s="2"/>
    </row>
    <row r="339" spans="15:18" ht="12.75" customHeight="1" x14ac:dyDescent="0.25">
      <c r="O339" s="2"/>
      <c r="P339" s="2"/>
      <c r="Q339" s="2"/>
      <c r="R339" s="2"/>
    </row>
    <row r="340" spans="15:18" ht="12.75" customHeight="1" x14ac:dyDescent="0.25">
      <c r="O340" s="2"/>
      <c r="P340" s="2"/>
      <c r="Q340" s="2"/>
      <c r="R340" s="2"/>
    </row>
    <row r="341" spans="15:18" ht="12.75" customHeight="1" x14ac:dyDescent="0.25">
      <c r="O341" s="2"/>
      <c r="P341" s="2"/>
      <c r="Q341" s="2"/>
      <c r="R341" s="2"/>
    </row>
    <row r="342" spans="15:18" ht="12.75" customHeight="1" x14ac:dyDescent="0.25">
      <c r="O342" s="2"/>
      <c r="P342" s="2"/>
      <c r="Q342" s="2"/>
      <c r="R342" s="2"/>
    </row>
    <row r="343" spans="15:18" ht="12.75" customHeight="1" x14ac:dyDescent="0.25">
      <c r="O343" s="2"/>
      <c r="P343" s="2"/>
      <c r="Q343" s="2"/>
      <c r="R343" s="2"/>
    </row>
    <row r="344" spans="15:18" ht="12.75" customHeight="1" x14ac:dyDescent="0.25">
      <c r="O344" s="2"/>
      <c r="P344" s="2"/>
      <c r="Q344" s="2"/>
      <c r="R344" s="2"/>
    </row>
    <row r="345" spans="15:18" ht="12.75" customHeight="1" x14ac:dyDescent="0.25">
      <c r="O345" s="2"/>
      <c r="P345" s="2"/>
      <c r="Q345" s="2"/>
      <c r="R345" s="2"/>
    </row>
    <row r="346" spans="15:18" ht="12.75" customHeight="1" x14ac:dyDescent="0.25">
      <c r="O346" s="2"/>
      <c r="P346" s="2"/>
      <c r="Q346" s="2"/>
      <c r="R346" s="2"/>
    </row>
    <row r="347" spans="15:18" ht="12.75" customHeight="1" x14ac:dyDescent="0.25">
      <c r="O347" s="2"/>
      <c r="P347" s="2"/>
      <c r="Q347" s="2"/>
      <c r="R347" s="2"/>
    </row>
    <row r="348" spans="15:18" ht="12.75" customHeight="1" x14ac:dyDescent="0.25">
      <c r="O348" s="2"/>
      <c r="P348" s="2"/>
      <c r="Q348" s="2"/>
      <c r="R348" s="2"/>
    </row>
    <row r="349" spans="15:18" ht="12.75" customHeight="1" x14ac:dyDescent="0.25">
      <c r="O349" s="2"/>
      <c r="P349" s="2"/>
      <c r="Q349" s="2"/>
      <c r="R349" s="2"/>
    </row>
    <row r="350" spans="15:18" ht="12.75" customHeight="1" x14ac:dyDescent="0.25">
      <c r="O350" s="2"/>
      <c r="P350" s="2"/>
      <c r="Q350" s="2"/>
      <c r="R350" s="2"/>
    </row>
    <row r="351" spans="15:18" ht="12.75" customHeight="1" x14ac:dyDescent="0.25">
      <c r="O351" s="2"/>
      <c r="P351" s="2"/>
      <c r="Q351" s="2"/>
      <c r="R351" s="2"/>
    </row>
    <row r="352" spans="15:18" ht="12.75" customHeight="1" x14ac:dyDescent="0.25">
      <c r="P352" s="2"/>
      <c r="Q352" s="2"/>
      <c r="R352" s="2"/>
    </row>
    <row r="353" spans="16:18" ht="12.75" customHeight="1" x14ac:dyDescent="0.25">
      <c r="P353" s="2"/>
      <c r="Q353" s="2"/>
      <c r="R353" s="2"/>
    </row>
  </sheetData>
  <customSheetViews>
    <customSheetView guid="{DF51FD8A-8BA9-46B7-B455-DFD0D532E42D}" showPageBreaks="1" fitToPage="1" printArea="1" showRuler="0" topLeftCell="E1">
      <selection activeCell="G1" sqref="G1:K4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"/>
      <headerFooter alignWithMargins="0"/>
    </customSheetView>
    <customSheetView guid="{1E45DDAB-A557-4269-B1F7-CCA75743796E}" showPageBreaks="1" fitToPage="1" printArea="1" showRuler="0" topLeftCell="J1">
      <selection activeCell="L1" sqref="L1:O3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2"/>
      <headerFooter alignWithMargins="0"/>
    </customSheetView>
    <customSheetView guid="{114781A2-0298-429A-B53B-CCDE7FC07C8A}" showPageBreaks="1" fitToPage="1" printArea="1" showRuler="0" topLeftCell="O1">
      <selection activeCell="P1" sqref="P1:S26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3"/>
      <headerFooter alignWithMargins="0"/>
    </customSheetView>
    <customSheetView guid="{70410578-0BAB-407F-B45A-A1FD00E78914}" showPageBreaks="1" fitToPage="1" printArea="1" showRuler="0" topLeftCell="R1">
      <selection activeCell="T1" sqref="T1:W48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4"/>
      <headerFooter alignWithMargins="0"/>
    </customSheetView>
    <customSheetView guid="{833E8250-6973-4555-A9B1-5ACEC89F3481}" showPageBreaks="1" fitToPage="1" printArea="1" showRuler="0" topLeftCell="X1">
      <selection activeCell="X1" sqref="X1:AA25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5"/>
      <headerFooter alignWithMargins="0"/>
    </customSheetView>
    <customSheetView guid="{2C3700F5-7337-49E6-9C17-9B49CE910373}" showPageBreaks="1" fitToPage="1" printArea="1" showRuler="0" topLeftCell="AA1">
      <selection activeCell="AB1" sqref="AB1:AF5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6"/>
      <headerFooter alignWithMargins="0"/>
    </customSheetView>
    <customSheetView guid="{57344CAB-EDB4-4D23-8F83-6632FA133D6F}" showPageBreaks="1" fitToPage="1" printArea="1" showRuler="0" topLeftCell="AF1">
      <selection activeCell="AG1" sqref="AG1:AK23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7"/>
      <headerFooter alignWithMargins="0"/>
    </customSheetView>
    <customSheetView guid="{368BDFFC-8B6F-4E1E-88F3-F226428845CF}" showPageBreaks="1" fitToPage="1" printArea="1" showRuler="0" topLeftCell="BJ1">
      <selection activeCell="BK1" sqref="BK1:BQ33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8"/>
      <headerFooter alignWithMargins="0"/>
    </customSheetView>
    <customSheetView guid="{BEBB2007-766E-4870-AB0B-58E56CB3F651}" scale="75" printArea="1" showRuler="0" topLeftCell="CA2">
      <selection activeCell="CD2" sqref="CD2:CI33"/>
      <colBreaks count="3" manualBreakCount="3">
        <brk id="92" max="57" man="1"/>
        <brk id="102" max="57" man="1"/>
        <brk id="109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9"/>
      <headerFooter alignWithMargins="0"/>
    </customSheetView>
    <customSheetView guid="{F0C9B202-A28C-4D84-9483-9F8FC93D796D}" showPageBreaks="1" fitToPage="1" printArea="1" showRuler="0" topLeftCell="CH54">
      <selection activeCell="CJ56" sqref="CJ56:CN79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0"/>
      <headerFooter alignWithMargins="0"/>
    </customSheetView>
    <customSheetView guid="{5528C217-5C85-409E-BEF2-118EFA30D59F}" showPageBreaks="1" fitToPage="1" printArea="1" showRuler="0" topLeftCell="CH33">
      <selection activeCell="CJ34" sqref="CJ34:CN5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1"/>
      <headerFooter alignWithMargins="0"/>
    </customSheetView>
    <customSheetView guid="{3CBED636-2D45-404E-AAC8-3EE8AD1E87DC}" showPageBreaks="1" fitToPage="1" printArea="1" showRuler="0" topLeftCell="CH1">
      <selection activeCell="CJ1" sqref="CJ1:CN30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2"/>
      <headerFooter alignWithMargins="0"/>
    </customSheetView>
    <customSheetView guid="{31DFCE0A-9DA6-4A87-B609-465F85B537E0}" showPageBreaks="1" fitToPage="1" printArea="1" showRuler="0" topLeftCell="A34">
      <selection activeCell="F50" sqref="A1:F50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3"/>
      <headerFooter alignWithMargins="0"/>
    </customSheetView>
    <customSheetView guid="{363BCC7B-365C-4862-8308-FD01127C4AC4}" showPageBreaks="1" fitToPage="1" printArea="1" showRuler="0" topLeftCell="AN1">
      <selection activeCell="AP1" sqref="AP1:AS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4"/>
      <headerFooter alignWithMargins="0"/>
    </customSheetView>
    <customSheetView guid="{4D415296-881A-4775-98CD-22EFE3033486}" showPageBreaks="1" fitToPage="1" printArea="1" showRuler="0" topLeftCell="AR1">
      <selection activeCell="AT1" sqref="AT1:AW4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5"/>
      <headerFooter alignWithMargins="0"/>
    </customSheetView>
    <customSheetView guid="{1B900283-A429-4403-A9D8-C71CBE042C5B}" showPageBreaks="1" fitToPage="1" printArea="1" showRuler="0" topLeftCell="AZ1">
      <selection activeCell="BA1" sqref="BA1:BE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6"/>
      <headerFooter alignWithMargins="0"/>
    </customSheetView>
    <customSheetView guid="{1C1C43A1-DC1D-4B83-8878-3010F6B52F39}" showPageBreaks="1" fitToPage="1" printArea="1" showRuler="0" topLeftCell="BF1">
      <selection activeCell="BF1" sqref="BF1:BJ2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7"/>
      <headerFooter alignWithMargins="0"/>
    </customSheetView>
    <customSheetView guid="{9BA720D1-BA25-4C52-A40B-874BAF7D1762}" showPageBreaks="1" fitToPage="1" printArea="1" showRuler="0" topLeftCell="BJ1">
      <selection activeCell="BK1" sqref="BK1:BQ36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8"/>
      <headerFooter alignWithMargins="0"/>
    </customSheetView>
    <customSheetView guid="{416960AD-1B0E-43B1-BBE2-4C2BAE619099}" showPageBreaks="1" fitToPage="1" printArea="1" showRuler="0" topLeftCell="BP1">
      <selection activeCell="BR1" sqref="BR1:BU3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9"/>
      <headerFooter alignWithMargins="0"/>
    </customSheetView>
    <customSheetView guid="{E75FE358-FE2D-4487-BA5A-B5AB72EE82DF}" showPageBreaks="1" fitToPage="1" printArea="1" showRuler="0" topLeftCell="BY1">
      <selection activeCell="BZ1" sqref="BZ1:CC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20"/>
      <headerFooter alignWithMargins="0"/>
    </customSheetView>
    <customSheetView guid="{6734E4FA-60B7-471C-AEFF-A65F9BB053D8}" scale="60" showPageBreaks="1" printArea="1" hiddenColumns="1" view="pageBreakPreview" showRuler="0" topLeftCell="DL1">
      <selection activeCell="DR1" sqref="DR1"/>
      <colBreaks count="4" manualBreakCount="4">
        <brk id="92" max="55" man="1"/>
        <brk id="102" max="57" man="1"/>
        <brk id="112" max="57" man="1"/>
        <brk id="121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21"/>
      <headerFooter alignWithMargins="0"/>
    </customSheetView>
    <customSheetView guid="{9180F71E-9CF3-48FD-9127-9BC9888EC40C}" scale="75" printArea="1" hiddenColumns="1" showRuler="0" topLeftCell="AJ1">
      <selection activeCell="AQ6" sqref="AQ6"/>
      <colBreaks count="3" manualBreakCount="3">
        <brk id="92" max="57" man="1"/>
        <brk id="102" max="57" man="1"/>
        <brk id="109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22"/>
      <headerFooter alignWithMargins="0"/>
    </customSheetView>
  </customSheetViews>
  <mergeCells count="1">
    <mergeCell ref="H41:J41"/>
  </mergeCells>
  <phoneticPr fontId="15" type="noConversion"/>
  <printOptions horizontalCentered="1"/>
  <pageMargins left="0.5" right="0.25" top="0.78" bottom="0.45" header="0.5" footer="0.5"/>
  <pageSetup scale="89" orientation="portrait" r:id="rId23"/>
  <headerFooter alignWithMargins="0"/>
  <colBreaks count="2" manualBreakCount="2">
    <brk id="78" max="57" man="1"/>
    <brk id="88" max="57" man="1"/>
  </colBreaks>
  <customProperties>
    <customPr name="_pios_id" r:id="rId24"/>
    <customPr name="EpmWorksheetKeyString_GUID" r:id="rId25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workbookViewId="0">
      <pane xSplit="4" ySplit="8" topLeftCell="E9" activePane="bottomRight" state="frozen"/>
      <selection activeCell="K29" sqref="K29"/>
      <selection pane="topRight" activeCell="K29" sqref="K29"/>
      <selection pane="bottomLeft" activeCell="K29" sqref="K29"/>
      <selection pane="bottomRight" activeCell="E57" sqref="E57"/>
    </sheetView>
  </sheetViews>
  <sheetFormatPr defaultColWidth="9.140625" defaultRowHeight="13.2" outlineLevelCol="1" x14ac:dyDescent="0.25"/>
  <cols>
    <col min="1" max="1" width="5.42578125" style="430" customWidth="1"/>
    <col min="2" max="2" width="51.28515625" style="430" customWidth="1"/>
    <col min="3" max="3" width="46.85546875" style="430" customWidth="1" outlineLevel="1"/>
    <col min="4" max="9" width="18.7109375" style="430" customWidth="1"/>
    <col min="10" max="10" width="3.7109375" style="430" bestFit="1" customWidth="1"/>
    <col min="11" max="11" width="9.140625" style="430"/>
    <col min="12" max="12" width="17.42578125" style="430" bestFit="1" customWidth="1"/>
    <col min="13" max="16384" width="9.140625" style="430"/>
  </cols>
  <sheetData>
    <row r="1" spans="1:12" ht="13.8" thickBot="1" x14ac:dyDescent="0.3">
      <c r="I1" s="481">
        <v>1.03</v>
      </c>
    </row>
    <row r="2" spans="1:12" x14ac:dyDescent="0.25">
      <c r="A2" s="467" t="s">
        <v>226</v>
      </c>
      <c r="B2" s="468"/>
      <c r="C2" s="468"/>
      <c r="D2" s="468"/>
      <c r="E2" s="468"/>
      <c r="F2" s="468"/>
      <c r="G2" s="468"/>
      <c r="H2" s="468"/>
      <c r="I2" s="468"/>
    </row>
    <row r="3" spans="1:12" x14ac:dyDescent="0.25">
      <c r="A3" s="467" t="s">
        <v>291</v>
      </c>
      <c r="B3" s="468"/>
      <c r="C3" s="468"/>
      <c r="D3" s="468"/>
      <c r="E3" s="468"/>
      <c r="F3" s="468"/>
      <c r="G3" s="468"/>
      <c r="H3" s="468"/>
      <c r="I3" s="468"/>
    </row>
    <row r="4" spans="1:12" x14ac:dyDescent="0.25">
      <c r="A4" s="467" t="s">
        <v>290</v>
      </c>
      <c r="B4" s="468"/>
      <c r="C4" s="468"/>
      <c r="D4" s="468"/>
      <c r="E4" s="468"/>
      <c r="F4" s="468"/>
      <c r="G4" s="468"/>
      <c r="H4" s="468"/>
      <c r="I4" s="468"/>
    </row>
    <row r="5" spans="1:12" x14ac:dyDescent="0.25">
      <c r="A5" s="467" t="str">
        <f>TESTYEAR</f>
        <v>FOR THE TWELVE MONTHS ENDED DECEMBER 31, 2019</v>
      </c>
      <c r="B5" s="468"/>
      <c r="C5" s="468"/>
      <c r="D5" s="468"/>
      <c r="E5" s="468"/>
      <c r="F5" s="468"/>
      <c r="G5" s="468"/>
      <c r="H5" s="468"/>
      <c r="I5" s="468"/>
    </row>
    <row r="6" spans="1:12" x14ac:dyDescent="0.25">
      <c r="B6" s="465"/>
      <c r="C6" s="465"/>
    </row>
    <row r="7" spans="1:12" x14ac:dyDescent="0.25">
      <c r="E7" s="464" t="s">
        <v>288</v>
      </c>
      <c r="F7" s="463"/>
      <c r="G7" s="463"/>
      <c r="H7" s="466"/>
      <c r="I7" s="286"/>
    </row>
    <row r="8" spans="1:12" ht="49.5" customHeight="1" thickBot="1" x14ac:dyDescent="0.3">
      <c r="A8" s="462" t="s">
        <v>287</v>
      </c>
      <c r="B8" s="461" t="s">
        <v>197</v>
      </c>
      <c r="C8" s="460" t="s">
        <v>286</v>
      </c>
      <c r="D8" s="459" t="s">
        <v>330</v>
      </c>
      <c r="E8" s="458" t="s">
        <v>285</v>
      </c>
      <c r="F8" s="457" t="s">
        <v>260</v>
      </c>
      <c r="G8" s="457" t="s">
        <v>284</v>
      </c>
      <c r="H8" s="457" t="s">
        <v>283</v>
      </c>
      <c r="I8" s="456" t="s">
        <v>331</v>
      </c>
    </row>
    <row r="9" spans="1:12" ht="16.5" customHeight="1" x14ac:dyDescent="0.25">
      <c r="A9" s="455">
        <v>1</v>
      </c>
      <c r="B9" s="454" t="s">
        <v>282</v>
      </c>
      <c r="C9" s="453" t="s">
        <v>276</v>
      </c>
      <c r="D9" s="450"/>
      <c r="E9" s="452">
        <f>-model!$BT$46</f>
        <v>0</v>
      </c>
      <c r="F9" s="452">
        <f>-model!$BY$46</f>
        <v>0</v>
      </c>
      <c r="G9" s="452">
        <f>-model!$BZ$46</f>
        <v>0</v>
      </c>
      <c r="H9" s="452">
        <f>-model!$CH$46</f>
        <v>0</v>
      </c>
      <c r="I9" s="452"/>
    </row>
    <row r="10" spans="1:12" x14ac:dyDescent="0.25">
      <c r="A10" s="440">
        <f t="shared" ref="A10:A20" si="0">+A9+1</f>
        <v>2</v>
      </c>
      <c r="B10" s="439" t="s">
        <v>281</v>
      </c>
      <c r="C10" s="438" t="s">
        <v>280</v>
      </c>
      <c r="D10" s="445">
        <f>+model!$CO$46</f>
        <v>2173327889.0222359</v>
      </c>
      <c r="E10" s="449">
        <f>+D10+E9</f>
        <v>2173327889.0222359</v>
      </c>
      <c r="F10" s="449">
        <f>+E10+F9</f>
        <v>2173327889.0222359</v>
      </c>
      <c r="G10" s="449">
        <f>+F10+G9</f>
        <v>2173327889.0222359</v>
      </c>
      <c r="H10" s="449">
        <f>+G10+H9</f>
        <v>2173327889.0222359</v>
      </c>
      <c r="I10" s="449">
        <f>+H10</f>
        <v>2173327889.0222359</v>
      </c>
    </row>
    <row r="11" spans="1:12" x14ac:dyDescent="0.25">
      <c r="A11" s="440">
        <f t="shared" si="0"/>
        <v>3</v>
      </c>
      <c r="B11" s="439" t="s">
        <v>333</v>
      </c>
      <c r="C11" s="541" t="s">
        <v>334</v>
      </c>
      <c r="D11" s="540">
        <f>(+D58*2+D76*10)/12</f>
        <v>7.5083333333333321E-2</v>
      </c>
      <c r="E11" s="451">
        <f>+D11</f>
        <v>7.5083333333333321E-2</v>
      </c>
      <c r="F11" s="451">
        <f t="shared" ref="F11:I11" si="1">+E11</f>
        <v>7.5083333333333321E-2</v>
      </c>
      <c r="G11" s="451">
        <f t="shared" si="1"/>
        <v>7.5083333333333321E-2</v>
      </c>
      <c r="H11" s="451">
        <f t="shared" si="1"/>
        <v>7.5083333333333321E-2</v>
      </c>
      <c r="I11" s="451">
        <f t="shared" si="1"/>
        <v>7.5083333333333321E-2</v>
      </c>
    </row>
    <row r="12" spans="1:12" x14ac:dyDescent="0.25">
      <c r="A12" s="440">
        <f t="shared" si="0"/>
        <v>4</v>
      </c>
      <c r="B12" s="439" t="s">
        <v>279</v>
      </c>
      <c r="C12" s="437" t="s">
        <v>278</v>
      </c>
      <c r="D12" s="445">
        <f>ROUND(D10*D11,0)</f>
        <v>163180702</v>
      </c>
      <c r="E12" s="449">
        <f t="shared" ref="E12:I12" si="2">ROUND(E10*E11,0)</f>
        <v>163180702</v>
      </c>
      <c r="F12" s="449">
        <f t="shared" si="2"/>
        <v>163180702</v>
      </c>
      <c r="G12" s="449">
        <f t="shared" si="2"/>
        <v>163180702</v>
      </c>
      <c r="H12" s="449">
        <f t="shared" si="2"/>
        <v>163180702</v>
      </c>
      <c r="I12" s="449">
        <f t="shared" si="2"/>
        <v>163180702</v>
      </c>
    </row>
    <row r="13" spans="1:12" x14ac:dyDescent="0.25">
      <c r="A13" s="440">
        <f t="shared" si="0"/>
        <v>5</v>
      </c>
      <c r="B13" s="439" t="s">
        <v>277</v>
      </c>
      <c r="C13" s="438" t="s">
        <v>276</v>
      </c>
      <c r="D13" s="450"/>
      <c r="E13" s="449">
        <f>-model!$BT$44</f>
        <v>-11298.038139999999</v>
      </c>
      <c r="F13" s="449">
        <f>-model!$BY$44</f>
        <v>-28102.181104549993</v>
      </c>
      <c r="G13" s="449">
        <f>-model!$BZ$44</f>
        <v>729622</v>
      </c>
      <c r="H13" s="449">
        <f>-model!$CH$44</f>
        <v>401034.77114766091</v>
      </c>
      <c r="I13" s="449"/>
      <c r="J13" s="447"/>
    </row>
    <row r="14" spans="1:12" x14ac:dyDescent="0.25">
      <c r="A14" s="440">
        <f t="shared" si="0"/>
        <v>6</v>
      </c>
      <c r="B14" s="439" t="s">
        <v>275</v>
      </c>
      <c r="C14" s="438" t="s">
        <v>274</v>
      </c>
      <c r="D14" s="445">
        <f>+model!$CO$44</f>
        <v>132989920.16441631</v>
      </c>
      <c r="E14" s="449">
        <f>+D14+E13</f>
        <v>132978622.12627631</v>
      </c>
      <c r="F14" s="449">
        <f>+E14+F13</f>
        <v>132950519.94517176</v>
      </c>
      <c r="G14" s="449">
        <f>+F14+G13</f>
        <v>133680141.94517176</v>
      </c>
      <c r="H14" s="449">
        <f>+G14+H13</f>
        <v>134081176.71631941</v>
      </c>
      <c r="I14" s="449">
        <f>+H14</f>
        <v>134081176.71631941</v>
      </c>
      <c r="J14" s="448"/>
      <c r="K14" s="447"/>
      <c r="L14" s="539"/>
    </row>
    <row r="15" spans="1:12" x14ac:dyDescent="0.25">
      <c r="A15" s="440">
        <f t="shared" si="0"/>
        <v>7</v>
      </c>
      <c r="B15" s="439" t="s">
        <v>273</v>
      </c>
      <c r="C15" s="437" t="s">
        <v>272</v>
      </c>
      <c r="D15" s="441">
        <f t="shared" ref="D15:I15" si="3">ROUND(D14-D12,0)</f>
        <v>-30190782</v>
      </c>
      <c r="E15" s="477">
        <f t="shared" si="3"/>
        <v>-30202080</v>
      </c>
      <c r="F15" s="477">
        <f t="shared" si="3"/>
        <v>-30230182</v>
      </c>
      <c r="G15" s="477">
        <f t="shared" si="3"/>
        <v>-29500560</v>
      </c>
      <c r="H15" s="477">
        <f t="shared" si="3"/>
        <v>-29099525</v>
      </c>
      <c r="I15" s="446">
        <f t="shared" si="3"/>
        <v>-29099525</v>
      </c>
      <c r="L15" s="539"/>
    </row>
    <row r="16" spans="1:12" x14ac:dyDescent="0.25">
      <c r="A16" s="440">
        <f t="shared" si="0"/>
        <v>8</v>
      </c>
      <c r="B16" s="439" t="s">
        <v>271</v>
      </c>
      <c r="C16" s="437" t="s">
        <v>270</v>
      </c>
      <c r="D16" s="445">
        <f>IF(D15&lt;0,0,D15)</f>
        <v>0</v>
      </c>
      <c r="E16" s="449">
        <f>IF(E15&lt;0,0,E15)</f>
        <v>0</v>
      </c>
      <c r="F16" s="449">
        <f>IF(F15&lt;0,0,F15)</f>
        <v>0</v>
      </c>
      <c r="G16" s="449">
        <f>IF(G15&lt;0,0,G15)</f>
        <v>0</v>
      </c>
      <c r="H16" s="449">
        <f>IF(H15&lt;0,0,H15)</f>
        <v>0</v>
      </c>
      <c r="I16" s="480">
        <f t="shared" ref="I16" si="4">IF(I15&lt;0,0,I15)</f>
        <v>0</v>
      </c>
    </row>
    <row r="17" spans="1:9" x14ac:dyDescent="0.25">
      <c r="A17" s="440">
        <f t="shared" si="0"/>
        <v>9</v>
      </c>
      <c r="B17" s="439" t="s">
        <v>269</v>
      </c>
      <c r="C17" s="437" t="s">
        <v>289</v>
      </c>
      <c r="D17" s="444">
        <v>0.5</v>
      </c>
      <c r="E17" s="444">
        <v>0.5</v>
      </c>
      <c r="F17" s="444">
        <v>0.5</v>
      </c>
      <c r="G17" s="444">
        <v>0.5</v>
      </c>
      <c r="H17" s="444">
        <v>0.5</v>
      </c>
      <c r="I17" s="444">
        <v>0.5</v>
      </c>
    </row>
    <row r="18" spans="1:9" x14ac:dyDescent="0.25">
      <c r="A18" s="440">
        <f t="shared" si="0"/>
        <v>10</v>
      </c>
      <c r="B18" s="439" t="s">
        <v>268</v>
      </c>
      <c r="C18" s="437" t="s">
        <v>267</v>
      </c>
      <c r="D18" s="443">
        <f>ROUND(D16*D17,0)</f>
        <v>0</v>
      </c>
      <c r="E18" s="478">
        <f>ROUND(E16*E17,0)</f>
        <v>0</v>
      </c>
      <c r="F18" s="478">
        <f>ROUND(F16*F17,0)</f>
        <v>0</v>
      </c>
      <c r="G18" s="478">
        <f>ROUND(G16*G17,0)</f>
        <v>0</v>
      </c>
      <c r="H18" s="478">
        <f>ROUND(H16*H17,0)</f>
        <v>0</v>
      </c>
      <c r="I18" s="442">
        <f>+H18</f>
        <v>0</v>
      </c>
    </row>
    <row r="19" spans="1:9" x14ac:dyDescent="0.25">
      <c r="A19" s="440">
        <f t="shared" si="0"/>
        <v>11</v>
      </c>
      <c r="B19" s="439" t="s">
        <v>263</v>
      </c>
      <c r="C19" s="438" t="s">
        <v>265</v>
      </c>
      <c r="D19" s="494">
        <f>+$E$43</f>
        <v>0.75408500000000001</v>
      </c>
      <c r="E19" s="436">
        <v>0.75408500000000001</v>
      </c>
      <c r="F19" s="436">
        <v>0.75408500000000001</v>
      </c>
      <c r="G19" s="436">
        <v>0.75408500000000001</v>
      </c>
      <c r="H19" s="436">
        <v>0.75408500000000001</v>
      </c>
      <c r="I19" s="436">
        <v>0.75408500000000001</v>
      </c>
    </row>
    <row r="20" spans="1:9" x14ac:dyDescent="0.25">
      <c r="A20" s="435">
        <f t="shared" si="0"/>
        <v>12</v>
      </c>
      <c r="B20" s="434" t="s">
        <v>332</v>
      </c>
      <c r="C20" s="433" t="s">
        <v>266</v>
      </c>
      <c r="D20" s="432">
        <f>ROUND(+D18/D19,0)</f>
        <v>0</v>
      </c>
      <c r="E20" s="479">
        <f>+ROUND((E18-D18)/E19,0)</f>
        <v>0</v>
      </c>
      <c r="F20" s="479">
        <f t="shared" ref="F20:H20" si="5">+ROUND((F18-E18)/F19,0)</f>
        <v>0</v>
      </c>
      <c r="G20" s="479">
        <f t="shared" si="5"/>
        <v>0</v>
      </c>
      <c r="H20" s="479">
        <f t="shared" si="5"/>
        <v>0</v>
      </c>
      <c r="I20" s="431">
        <f>ROUND(+I18/I19,0)</f>
        <v>0</v>
      </c>
    </row>
    <row r="22" spans="1:9" x14ac:dyDescent="0.25">
      <c r="D22" s="515">
        <f>D14/D10</f>
        <v>6.1191834345919842E-2</v>
      </c>
      <c r="E22" s="515">
        <f>E14/E10-D22</f>
        <v>-5.1984968292492773E-6</v>
      </c>
      <c r="F22" s="515">
        <f>F14/F10-SUM($D$22:E22)</f>
        <v>-1.2930483819999228E-5</v>
      </c>
      <c r="G22" s="515">
        <f>G14/G10-SUM($D$22:F22)</f>
        <v>3.3571648515873243E-4</v>
      </c>
      <c r="H22" s="515">
        <f>H14/H10-SUM($D$22:G22)</f>
        <v>1.8452566369452778E-4</v>
      </c>
      <c r="I22" s="515">
        <f>I14/I10</f>
        <v>6.1693947514123854E-2</v>
      </c>
    </row>
    <row r="23" spans="1:9" x14ac:dyDescent="0.25">
      <c r="H23" s="516" t="s">
        <v>324</v>
      </c>
      <c r="I23" s="517">
        <f>SUM(D22:H22)-I22</f>
        <v>0</v>
      </c>
    </row>
    <row r="26" spans="1:9" x14ac:dyDescent="0.25">
      <c r="A26" s="31" t="s">
        <v>298</v>
      </c>
      <c r="B26" s="5"/>
      <c r="C26" s="5"/>
      <c r="D26" s="5"/>
      <c r="E26" s="5"/>
    </row>
    <row r="27" spans="1:9" x14ac:dyDescent="0.25">
      <c r="A27" s="5" t="s">
        <v>22</v>
      </c>
      <c r="B27" s="5"/>
      <c r="C27" s="5"/>
      <c r="D27" s="5"/>
      <c r="E27" s="5"/>
    </row>
    <row r="28" spans="1:9" x14ac:dyDescent="0.25">
      <c r="A28" s="5" t="s">
        <v>299</v>
      </c>
      <c r="B28" s="5"/>
      <c r="C28" s="5"/>
      <c r="D28" s="5"/>
      <c r="E28" s="5"/>
    </row>
    <row r="29" spans="1:9" x14ac:dyDescent="0.25">
      <c r="A29" s="31" t="s">
        <v>300</v>
      </c>
      <c r="B29" s="5"/>
      <c r="C29" s="5"/>
      <c r="D29" s="5"/>
      <c r="E29" s="5"/>
    </row>
    <row r="30" spans="1:9" x14ac:dyDescent="0.25">
      <c r="A30" s="32"/>
      <c r="B30" s="32"/>
      <c r="C30" s="32"/>
      <c r="D30" s="32"/>
      <c r="E30" s="32"/>
    </row>
    <row r="31" spans="1:9" x14ac:dyDescent="0.25">
      <c r="A31" s="17" t="s">
        <v>25</v>
      </c>
      <c r="B31" s="32"/>
      <c r="C31" s="32"/>
      <c r="D31" s="32"/>
      <c r="E31" s="32"/>
    </row>
    <row r="32" spans="1:9" x14ac:dyDescent="0.25">
      <c r="A32" s="23" t="s">
        <v>33</v>
      </c>
      <c r="B32" s="36" t="s">
        <v>34</v>
      </c>
      <c r="C32" s="23"/>
      <c r="D32" s="23" t="s">
        <v>46</v>
      </c>
      <c r="E32" s="23" t="s">
        <v>36</v>
      </c>
    </row>
    <row r="33" spans="1:5" x14ac:dyDescent="0.25">
      <c r="A33" s="3"/>
      <c r="B33" s="3"/>
      <c r="C33" s="3"/>
      <c r="D33" s="3"/>
      <c r="E33" s="3"/>
    </row>
    <row r="34" spans="1:5" x14ac:dyDescent="0.25">
      <c r="A34" s="18">
        <v>1</v>
      </c>
      <c r="B34" s="19" t="s">
        <v>84</v>
      </c>
      <c r="C34" s="486"/>
      <c r="D34" s="486"/>
      <c r="E34" s="486">
        <v>5.1399999999999996E-3</v>
      </c>
    </row>
    <row r="35" spans="1:5" x14ac:dyDescent="0.25">
      <c r="A35" s="18">
        <f t="shared" ref="A35:A43" si="6">+A34+1</f>
        <v>2</v>
      </c>
      <c r="B35" s="3" t="s">
        <v>158</v>
      </c>
      <c r="C35" s="486"/>
      <c r="D35" s="486"/>
      <c r="E35" s="486">
        <v>2E-3</v>
      </c>
    </row>
    <row r="36" spans="1:5" x14ac:dyDescent="0.25">
      <c r="A36" s="18">
        <f t="shared" si="6"/>
        <v>3</v>
      </c>
      <c r="B36" s="166" t="str">
        <f>"STATE UTILITY TAX ( "&amp;D36*100&amp;"% - ( LINE 1 * "&amp;D36*100&amp;"% )  )"</f>
        <v>STATE UTILITY TAX ( 3.852% - ( LINE 1 * 3.852% )  )</v>
      </c>
      <c r="C36" s="162"/>
      <c r="D36" s="487">
        <v>3.8519999999999999E-2</v>
      </c>
      <c r="E36" s="488">
        <f>ROUND(D36-(D36*E34),6)</f>
        <v>3.8322000000000002E-2</v>
      </c>
    </row>
    <row r="37" spans="1:5" x14ac:dyDescent="0.25">
      <c r="A37" s="18">
        <f t="shared" si="6"/>
        <v>4</v>
      </c>
      <c r="B37" s="3"/>
      <c r="C37" s="486"/>
      <c r="D37" s="486"/>
      <c r="E37" s="486"/>
    </row>
    <row r="38" spans="1:5" x14ac:dyDescent="0.25">
      <c r="A38" s="18">
        <f t="shared" si="6"/>
        <v>5</v>
      </c>
      <c r="B38" s="166" t="s">
        <v>167</v>
      </c>
      <c r="C38" s="486"/>
      <c r="D38" s="486"/>
      <c r="E38" s="486">
        <f>SUM(E34:E37)</f>
        <v>4.5462000000000002E-2</v>
      </c>
    </row>
    <row r="39" spans="1:5" x14ac:dyDescent="0.25">
      <c r="A39" s="18">
        <f t="shared" si="6"/>
        <v>6</v>
      </c>
      <c r="B39" s="3"/>
      <c r="C39" s="3"/>
      <c r="D39" s="3"/>
      <c r="E39" s="3"/>
    </row>
    <row r="40" spans="1:5" x14ac:dyDescent="0.25">
      <c r="A40" s="18">
        <f t="shared" si="6"/>
        <v>7</v>
      </c>
      <c r="B40" s="162" t="s">
        <v>296</v>
      </c>
      <c r="C40" s="162"/>
      <c r="D40" s="162"/>
      <c r="E40" s="486">
        <f>ROUND(1-E38,6)</f>
        <v>0.954538</v>
      </c>
    </row>
    <row r="41" spans="1:5" ht="13.8" x14ac:dyDescent="0.3">
      <c r="A41" s="18">
        <f t="shared" si="6"/>
        <v>8</v>
      </c>
      <c r="B41" s="166" t="s">
        <v>297</v>
      </c>
      <c r="C41" s="486"/>
      <c r="D41" s="489">
        <v>0.21</v>
      </c>
      <c r="E41" s="490">
        <f>ROUND(E40*D41,6)</f>
        <v>0.20045299999999999</v>
      </c>
    </row>
    <row r="42" spans="1:5" x14ac:dyDescent="0.25">
      <c r="A42" s="18">
        <f t="shared" si="6"/>
        <v>9</v>
      </c>
      <c r="B42" s="19"/>
      <c r="C42" s="486"/>
      <c r="D42" s="491"/>
      <c r="E42" s="492"/>
    </row>
    <row r="43" spans="1:5" ht="14.4" thickBot="1" x14ac:dyDescent="0.35">
      <c r="A43" s="18">
        <f t="shared" si="6"/>
        <v>10</v>
      </c>
      <c r="B43" s="19" t="s">
        <v>22</v>
      </c>
      <c r="C43" s="486"/>
      <c r="D43" s="491"/>
      <c r="E43" s="493">
        <f>E40-E41</f>
        <v>0.75408500000000001</v>
      </c>
    </row>
    <row r="44" spans="1:5" ht="13.8" thickTop="1" x14ac:dyDescent="0.25"/>
    <row r="48" spans="1:5" x14ac:dyDescent="0.25">
      <c r="B48" s="430" t="s">
        <v>335</v>
      </c>
    </row>
    <row r="57" spans="2:4" ht="13.8" thickBot="1" x14ac:dyDescent="0.3"/>
    <row r="58" spans="2:4" ht="13.8" thickBot="1" x14ac:dyDescent="0.3">
      <c r="D58" s="542">
        <v>7.5999999999999998E-2</v>
      </c>
    </row>
    <row r="64" spans="2:4" x14ac:dyDescent="0.25">
      <c r="B64" s="430" t="s">
        <v>336</v>
      </c>
    </row>
    <row r="75" spans="4:4" ht="13.8" thickBot="1" x14ac:dyDescent="0.3"/>
    <row r="76" spans="4:4" ht="13.8" thickBot="1" x14ac:dyDescent="0.3">
      <c r="D76" s="542">
        <v>7.4899999999999994E-2</v>
      </c>
    </row>
  </sheetData>
  <pageMargins left="0.7" right="0.7" top="0.75" bottom="0.75" header="0.3" footer="0.3"/>
  <pageSetup scale="91" orientation="landscape" r:id="rId1"/>
  <customProperties>
    <customPr name="_pios_id" r:id="rId2"/>
    <customPr name="EpmWorksheetKeyString_GUID" r:id="rId3"/>
  </customPropertie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BC56AE2A887B4284B2CA7506F74CC7" ma:contentTypeVersion="52" ma:contentTypeDescription="" ma:contentTypeScope="" ma:versionID="79950ce49d370728daf278a8314e01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2020-04-01T07:00:00+00:00</OpenedDate>
    <SignificantOrder xmlns="dc463f71-b30c-4ab2-9473-d307f9d35888">false</SignificantOrder>
    <Date1 xmlns="dc463f71-b30c-4ab2-9473-d307f9d35888">2020-03-31T07:00:00+00:00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B667384-FB6A-479A-A269-10E4BDC0B85B}"/>
</file>

<file path=customXml/itemProps2.xml><?xml version="1.0" encoding="utf-8"?>
<ds:datastoreItem xmlns:ds="http://schemas.openxmlformats.org/officeDocument/2006/customXml" ds:itemID="{E6267326-63DF-46F5-988B-AEA4C15242B4}"/>
</file>

<file path=customXml/itemProps3.xml><?xml version="1.0" encoding="utf-8"?>
<ds:datastoreItem xmlns:ds="http://schemas.openxmlformats.org/officeDocument/2006/customXml" ds:itemID="{FC6F653B-5383-43BA-8895-AE114A9B88DB}"/>
</file>

<file path=customXml/itemProps4.xml><?xml version="1.0" encoding="utf-8"?>
<ds:datastoreItem xmlns:ds="http://schemas.openxmlformats.org/officeDocument/2006/customXml" ds:itemID="{5A1FB2A3-F131-426E-81CA-CF2786C533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39</vt:i4>
      </vt:variant>
    </vt:vector>
  </HeadingPairs>
  <TitlesOfParts>
    <vt:vector size="43" baseType="lpstr">
      <vt:lpstr>1.01 ROR ROE</vt:lpstr>
      <vt:lpstr>1.02 COC</vt:lpstr>
      <vt:lpstr>model</vt:lpstr>
      <vt:lpstr>Earnings Sharing-CBR to Adj CBR</vt:lpstr>
      <vt:lpstr>_3.01_TempNorm</vt:lpstr>
      <vt:lpstr>_3.02_RevExp</vt:lpstr>
      <vt:lpstr>_3.03_FIT</vt:lpstr>
      <vt:lpstr>_3.04_TBoRI</vt:lpstr>
      <vt:lpstr>_3.05_PassThru</vt:lpstr>
      <vt:lpstr>_3.06_RateCaseExp</vt:lpstr>
      <vt:lpstr>_3.07_BadDebt</vt:lpstr>
      <vt:lpstr>_3.09_ExciseTax</vt:lpstr>
      <vt:lpstr>_3.10_DandO</vt:lpstr>
      <vt:lpstr>_3.11_IntOnCustD</vt:lpstr>
      <vt:lpstr>_3.12_Pension</vt:lpstr>
      <vt:lpstr>_3.13_InjAndDam</vt:lpstr>
      <vt:lpstr>_3.A</vt:lpstr>
      <vt:lpstr>_3.B</vt:lpstr>
      <vt:lpstr>_4.01</vt:lpstr>
      <vt:lpstr>_FEDERAL_INCOME_TAX</vt:lpstr>
      <vt:lpstr>DOCKET</vt:lpstr>
      <vt:lpstr>FEDERAL_INCOME_TAX</vt:lpstr>
      <vt:lpstr>FIT</vt:lpstr>
      <vt:lpstr>INCSTMNT</vt:lpstr>
      <vt:lpstr>'Earnings Sharing-CBR to Adj CBR'!Print_Area</vt:lpstr>
      <vt:lpstr>model!Print_Area</vt:lpstr>
      <vt:lpstr>PSPL</vt:lpstr>
      <vt:lpstr>RESULTS_OF_OPERATIONS</vt:lpstr>
      <vt:lpstr>STATE_UTILITY_TAX</vt:lpstr>
      <vt:lpstr>SUMMARY</vt:lpstr>
      <vt:lpstr>TESTYEAR</vt:lpstr>
      <vt:lpstr>UTG</vt:lpstr>
      <vt:lpstr>model!Z_1E45DDAB_A557_4269_B1F7_CCA75743796E_.wvu.PrintArea</vt:lpstr>
      <vt:lpstr>model!Z_31DFCE0A_9DA6_4A87_B609_465F85B537E0_.wvu.PrintArea</vt:lpstr>
      <vt:lpstr>model!Z_363BCC7B_365C_4862_8308_FD01127C4AC4_.wvu.PrintArea</vt:lpstr>
      <vt:lpstr>model!Z_3CBED636_2D45_404E_AAC8_3EE8AD1E87DC_.wvu.PrintArea</vt:lpstr>
      <vt:lpstr>model!Z_5528C217_5C85_409E_BEF2_118EFA30D59F_.wvu.PrintArea</vt:lpstr>
      <vt:lpstr>model!Z_6734E4FA_60B7_471C_AEFF_A65F9BB053D8_.wvu.PrintArea</vt:lpstr>
      <vt:lpstr>model!Z_70410578_0BAB_407F_B45A_A1FD00E78914_.wvu.PrintArea</vt:lpstr>
      <vt:lpstr>model!Z_833E8250_6973_4555_A9B1_5ACEC89F3481_.wvu.PrintArea</vt:lpstr>
      <vt:lpstr>model!Z_9180F71E_9CF3_48FD_9127_9BC9888EC40C_.wvu.PrintArea</vt:lpstr>
      <vt:lpstr>model!Z_DF51FD8A_8BA9_46B7_B455_DFD0D532E42D_.wvu.PrintArea</vt:lpstr>
      <vt:lpstr>model!Z_F0C9B202_A28C_4D84_9483_9F8FC93D796D_.wvu.PrintArea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COMMISSION BASIS REPORT</dc:title>
  <dc:subject>TWELVE MOS. ENDED 6/30/95</dc:subject>
  <dc:creator>Janna D. Greif</dc:creator>
  <cp:lastModifiedBy>Marvelous Marina</cp:lastModifiedBy>
  <cp:lastPrinted>2018-03-21T23:27:54Z</cp:lastPrinted>
  <dcterms:created xsi:type="dcterms:W3CDTF">1997-10-13T22:59:17Z</dcterms:created>
  <dcterms:modified xsi:type="dcterms:W3CDTF">2020-03-30T18:50:55Z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#GS Dec 2019CBR.xlsx</vt:lpwstr>
  </property>
  <property fmtid="{D5CDD505-2E9C-101B-9397-08002B2CF9AE}" pid="3" name="ContentTypeId">
    <vt:lpwstr>0x0101006E56B4D1795A2E4DB2F0B01679ED314A00D2BC56AE2A887B4284B2CA7506F74CC7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