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printerSettings/printerSettings1.bin" ContentType="application/vnd.openxmlformats-officedocument.spreadsheetml.printerSettings"/>
  <Override PartName="/docProps/custom.xml" ContentType="application/vnd.openxmlformats-officedocument.custom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printerSettings/printerSettings3.bin" ContentType="application/vnd.openxmlformats-officedocument.spreadsheetml.printerSettings"/>
  <Override PartName="/xl/printerSettings/printerSettings2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printerSettings/printerSettings6.bin" ContentType="application/vnd.openxmlformats-officedocument.spreadsheetml.printerSettings"/>
  <Override PartName="/xl/printerSettings/printerSettings5.bin" ContentType="application/vnd.openxmlformats-officedocument.spreadsheetml.printerSettings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19\To File Dec 2019 CBR\"/>
    </mc:Choice>
  </mc:AlternateContent>
  <bookViews>
    <workbookView xWindow="240" yWindow="348" windowWidth="21072" windowHeight="8772" tabRatio="902" firstSheet="1" activeTab="1"/>
  </bookViews>
  <sheets>
    <sheet name="_com.sap.ip.bi.xl.hiddensheet" sheetId="32" state="veryHidden" r:id="rId1"/>
    <sheet name="Allocated (CBR)" sheetId="24" r:id="rId2"/>
    <sheet name="Unallocated Detail (CBR)" sheetId="30" r:id="rId3"/>
    <sheet name="Unallocated Summary (CBR)" sheetId="25" r:id="rId4"/>
    <sheet name="Common by Account (CBR)" sheetId="26" r:id="rId5"/>
    <sheet name="==&gt;" sheetId="33" r:id="rId6"/>
    <sheet name="Allocators (CBR)" sheetId="23" r:id="rId7"/>
    <sheet name="FM" sheetId="29" r:id="rId8"/>
  </sheets>
  <externalReferences>
    <externalReference r:id="rId9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 localSheetId="7">{"'Sheet1'!$A$1:$J$121"}</definedName>
    <definedName name="HTML_Control" localSheetId="2">{"'Sheet1'!$A$1:$J$121"}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 localSheetId="7">MATCH(0.01,End_Bal,-1)+1</definedName>
    <definedName name="Number_of_Payments" localSheetId="2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SAPBEXhrIndnt">"Wide"</definedName>
    <definedName name="SAPCrosstab1">FM!$A$1:$J$239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 localSheetId="7">IF(Loan_Amount*Interest_Rate*Loan_Years*Loan_Start&gt;0,1,0)</definedName>
    <definedName name="Values_Entered" localSheetId="2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70" i="23" l="1"/>
  <c r="G78" i="26" s="1"/>
  <c r="F70" i="23"/>
  <c r="F78" i="26" s="1"/>
  <c r="G69" i="23"/>
  <c r="F69" i="23"/>
  <c r="G68" i="23"/>
  <c r="G76" i="26" s="1"/>
  <c r="F68" i="23"/>
  <c r="F76" i="26" s="1"/>
  <c r="G67" i="23"/>
  <c r="G75" i="26" s="1"/>
  <c r="G66" i="23"/>
  <c r="G74" i="26" s="1"/>
  <c r="F66" i="23"/>
  <c r="F74" i="26" s="1"/>
  <c r="F67" i="23"/>
  <c r="F75" i="26" s="1"/>
  <c r="F52" i="23" l="1"/>
  <c r="F77" i="26"/>
  <c r="G52" i="23"/>
  <c r="G77" i="26"/>
  <c r="B3" i="26"/>
  <c r="B4" i="23"/>
  <c r="I243" i="29"/>
  <c r="H243" i="29"/>
  <c r="J243" i="29" s="1"/>
  <c r="I242" i="29"/>
  <c r="H242" i="29"/>
  <c r="I241" i="29"/>
  <c r="H241" i="29"/>
  <c r="J241" i="29" s="1"/>
  <c r="J242" i="29" l="1"/>
  <c r="F311" i="30" l="1"/>
  <c r="E311" i="30"/>
  <c r="F289" i="30"/>
  <c r="C326" i="30"/>
  <c r="B326" i="30"/>
  <c r="C325" i="30"/>
  <c r="B325" i="30"/>
  <c r="C322" i="30"/>
  <c r="B322" i="30"/>
  <c r="C321" i="30"/>
  <c r="B321" i="30"/>
  <c r="C320" i="30"/>
  <c r="B320" i="30"/>
  <c r="C319" i="30"/>
  <c r="B319" i="30"/>
  <c r="C318" i="30"/>
  <c r="B318" i="30"/>
  <c r="C317" i="30"/>
  <c r="B317" i="30"/>
  <c r="C316" i="30"/>
  <c r="B316" i="30"/>
  <c r="C315" i="30"/>
  <c r="B315" i="30"/>
  <c r="C314" i="30"/>
  <c r="B314" i="30"/>
  <c r="C311" i="30"/>
  <c r="B311" i="30"/>
  <c r="C310" i="30"/>
  <c r="B310" i="30"/>
  <c r="C309" i="30"/>
  <c r="B309" i="30"/>
  <c r="C308" i="30"/>
  <c r="B308" i="30"/>
  <c r="C307" i="30"/>
  <c r="B307" i="30"/>
  <c r="C306" i="30"/>
  <c r="B306" i="30"/>
  <c r="C305" i="30"/>
  <c r="B305" i="30"/>
  <c r="C304" i="30"/>
  <c r="B304" i="30"/>
  <c r="C303" i="30"/>
  <c r="B303" i="30"/>
  <c r="C302" i="30"/>
  <c r="B302" i="30"/>
  <c r="C301" i="30"/>
  <c r="B301" i="30"/>
  <c r="C300" i="30"/>
  <c r="B300" i="30"/>
  <c r="C299" i="30"/>
  <c r="B299" i="30"/>
  <c r="C298" i="30"/>
  <c r="B298" i="30"/>
  <c r="C297" i="30"/>
  <c r="B297" i="30"/>
  <c r="C296" i="30"/>
  <c r="B296" i="30"/>
  <c r="C295" i="30"/>
  <c r="B295" i="30"/>
  <c r="C294" i="30"/>
  <c r="B294" i="30"/>
  <c r="C293" i="30"/>
  <c r="B293" i="30"/>
  <c r="C292" i="30"/>
  <c r="B292" i="30"/>
  <c r="C291" i="30"/>
  <c r="B291" i="30"/>
  <c r="C290" i="30"/>
  <c r="B290" i="30"/>
  <c r="C289" i="30"/>
  <c r="B289" i="30"/>
  <c r="C288" i="30"/>
  <c r="B288" i="30"/>
  <c r="C281" i="30"/>
  <c r="B281" i="30"/>
  <c r="C280" i="30"/>
  <c r="B280" i="30"/>
  <c r="C279" i="30"/>
  <c r="B279" i="30"/>
  <c r="C276" i="30"/>
  <c r="B276" i="30"/>
  <c r="C275" i="30"/>
  <c r="B275" i="30"/>
  <c r="C271" i="30"/>
  <c r="B271" i="30"/>
  <c r="C266" i="30"/>
  <c r="B266" i="30"/>
  <c r="C265" i="30"/>
  <c r="B265" i="30"/>
  <c r="C262" i="30"/>
  <c r="B262" i="30"/>
  <c r="C261" i="30"/>
  <c r="B261" i="30"/>
  <c r="C260" i="30"/>
  <c r="B260" i="30"/>
  <c r="C259" i="30"/>
  <c r="B259" i="30"/>
  <c r="C258" i="30"/>
  <c r="B258" i="30"/>
  <c r="C257" i="30"/>
  <c r="B257" i="30"/>
  <c r="C254" i="30"/>
  <c r="B254" i="30"/>
  <c r="C251" i="30"/>
  <c r="B251" i="30"/>
  <c r="C250" i="30"/>
  <c r="B250" i="30"/>
  <c r="C249" i="30"/>
  <c r="B249" i="30"/>
  <c r="C246" i="30"/>
  <c r="B246" i="30"/>
  <c r="C245" i="30"/>
  <c r="B245" i="30"/>
  <c r="C239" i="30"/>
  <c r="B239" i="30"/>
  <c r="C238" i="30"/>
  <c r="B238" i="30"/>
  <c r="C237" i="30"/>
  <c r="B237" i="30"/>
  <c r="C236" i="30"/>
  <c r="B236" i="30"/>
  <c r="C235" i="30"/>
  <c r="B235" i="30"/>
  <c r="C234" i="30"/>
  <c r="B234" i="30"/>
  <c r="C233" i="30"/>
  <c r="B233" i="30"/>
  <c r="C232" i="30"/>
  <c r="B232" i="30"/>
  <c r="C231" i="30"/>
  <c r="B231" i="30"/>
  <c r="C230" i="30"/>
  <c r="B230" i="30"/>
  <c r="C229" i="30"/>
  <c r="B229" i="30"/>
  <c r="C228" i="30"/>
  <c r="B228" i="30"/>
  <c r="C227" i="30"/>
  <c r="B227" i="30"/>
  <c r="C224" i="30"/>
  <c r="B224" i="30"/>
  <c r="C221" i="30"/>
  <c r="B221" i="30"/>
  <c r="C220" i="30"/>
  <c r="B220" i="30"/>
  <c r="C219" i="30"/>
  <c r="B219" i="30"/>
  <c r="C218" i="30"/>
  <c r="B218" i="30"/>
  <c r="C217" i="30"/>
  <c r="B217" i="30"/>
  <c r="C216" i="30"/>
  <c r="B216" i="30"/>
  <c r="C215" i="30"/>
  <c r="B215" i="30"/>
  <c r="C212" i="30"/>
  <c r="B212" i="30"/>
  <c r="C211" i="30"/>
  <c r="B211" i="30"/>
  <c r="C210" i="30"/>
  <c r="B210" i="30"/>
  <c r="C209" i="30"/>
  <c r="B209" i="30"/>
  <c r="C208" i="30"/>
  <c r="B208" i="30"/>
  <c r="C205" i="30"/>
  <c r="B205" i="30"/>
  <c r="C204" i="30"/>
  <c r="B204" i="30"/>
  <c r="C203" i="30"/>
  <c r="B203" i="30"/>
  <c r="C202" i="30"/>
  <c r="B202" i="30"/>
  <c r="C201" i="30"/>
  <c r="B201" i="30"/>
  <c r="C200" i="30"/>
  <c r="B200" i="30"/>
  <c r="C199" i="30"/>
  <c r="B199" i="30"/>
  <c r="C198" i="30"/>
  <c r="B198" i="30"/>
  <c r="C197" i="30"/>
  <c r="B197" i="30"/>
  <c r="C196" i="30"/>
  <c r="B196" i="30"/>
  <c r="C195" i="30"/>
  <c r="B195" i="30"/>
  <c r="C194" i="30"/>
  <c r="B194" i="30"/>
  <c r="C193" i="30"/>
  <c r="B193" i="30"/>
  <c r="C192" i="30"/>
  <c r="B192" i="30"/>
  <c r="C191" i="30"/>
  <c r="B191" i="30"/>
  <c r="C190" i="30"/>
  <c r="B190" i="30"/>
  <c r="C189" i="30"/>
  <c r="B189" i="30"/>
  <c r="C188" i="30"/>
  <c r="B188" i="30"/>
  <c r="C187" i="30"/>
  <c r="B187" i="30"/>
  <c r="C186" i="30"/>
  <c r="B186" i="30"/>
  <c r="C185" i="30"/>
  <c r="B185" i="30"/>
  <c r="C184" i="30"/>
  <c r="B184" i="30"/>
  <c r="C183" i="30"/>
  <c r="B183" i="30"/>
  <c r="C182" i="30"/>
  <c r="B182" i="30"/>
  <c r="C181" i="30"/>
  <c r="B181" i="30"/>
  <c r="C180" i="30"/>
  <c r="B180" i="30"/>
  <c r="C179" i="30"/>
  <c r="B179" i="30"/>
  <c r="C178" i="30"/>
  <c r="B178" i="30"/>
  <c r="C177" i="30"/>
  <c r="B177" i="30"/>
  <c r="C176" i="30"/>
  <c r="B176" i="30"/>
  <c r="C175" i="30"/>
  <c r="B175" i="30"/>
  <c r="C174" i="30"/>
  <c r="B174" i="30"/>
  <c r="C173" i="30"/>
  <c r="B173" i="30"/>
  <c r="C172" i="30"/>
  <c r="B172" i="30"/>
  <c r="C171" i="30"/>
  <c r="B171" i="30"/>
  <c r="C170" i="30"/>
  <c r="B170" i="30"/>
  <c r="C167" i="30"/>
  <c r="B167" i="30"/>
  <c r="C166" i="30"/>
  <c r="B166" i="30"/>
  <c r="C165" i="30"/>
  <c r="B165" i="30"/>
  <c r="C164" i="30"/>
  <c r="B164" i="30"/>
  <c r="C163" i="30"/>
  <c r="B163" i="30"/>
  <c r="C162" i="30"/>
  <c r="B162" i="30"/>
  <c r="C161" i="30"/>
  <c r="B161" i="30"/>
  <c r="C160" i="30"/>
  <c r="B160" i="30"/>
  <c r="C159" i="30"/>
  <c r="B159" i="30"/>
  <c r="C158" i="30"/>
  <c r="B158" i="30"/>
  <c r="C157" i="30"/>
  <c r="B157" i="30"/>
  <c r="C156" i="30"/>
  <c r="B156" i="30"/>
  <c r="C155" i="30"/>
  <c r="B155" i="30"/>
  <c r="C154" i="30"/>
  <c r="B154" i="30"/>
  <c r="C153" i="30"/>
  <c r="B153" i="30"/>
  <c r="C152" i="30"/>
  <c r="B152" i="30"/>
  <c r="C151" i="30"/>
  <c r="B151" i="30"/>
  <c r="C150" i="30"/>
  <c r="B150" i="30"/>
  <c r="C149" i="30"/>
  <c r="B149" i="30"/>
  <c r="C148" i="30"/>
  <c r="B148" i="30"/>
  <c r="C147" i="30"/>
  <c r="B147" i="30"/>
  <c r="C146" i="30"/>
  <c r="B146" i="30"/>
  <c r="C145" i="30"/>
  <c r="B145" i="30"/>
  <c r="C144" i="30"/>
  <c r="B144" i="30"/>
  <c r="C143" i="30"/>
  <c r="B143" i="30"/>
  <c r="C142" i="30"/>
  <c r="B142" i="30"/>
  <c r="C141" i="30"/>
  <c r="B141" i="30"/>
  <c r="C140" i="30"/>
  <c r="B140" i="30"/>
  <c r="C137" i="30"/>
  <c r="B137" i="30"/>
  <c r="C136" i="30"/>
  <c r="B136" i="30"/>
  <c r="C135" i="30"/>
  <c r="B135" i="30"/>
  <c r="C134" i="30"/>
  <c r="B134" i="30"/>
  <c r="C133" i="30"/>
  <c r="B133" i="30"/>
  <c r="C132" i="30"/>
  <c r="B132" i="30"/>
  <c r="C131" i="30"/>
  <c r="B131" i="30"/>
  <c r="C130" i="30"/>
  <c r="B130" i="30"/>
  <c r="C129" i="30"/>
  <c r="B129" i="30"/>
  <c r="C128" i="30"/>
  <c r="B128" i="30"/>
  <c r="C127" i="30"/>
  <c r="B127" i="30"/>
  <c r="C126" i="30"/>
  <c r="B126" i="30"/>
  <c r="C125" i="30"/>
  <c r="B125" i="30"/>
  <c r="C124" i="30"/>
  <c r="B124" i="30"/>
  <c r="C123" i="30"/>
  <c r="B123" i="30"/>
  <c r="C122" i="30"/>
  <c r="B122" i="30"/>
  <c r="C121" i="30"/>
  <c r="B121" i="30"/>
  <c r="C120" i="30"/>
  <c r="B120" i="30"/>
  <c r="C119" i="30"/>
  <c r="B119" i="30"/>
  <c r="C118" i="30"/>
  <c r="B118" i="30"/>
  <c r="C117" i="30"/>
  <c r="B117" i="30"/>
  <c r="C116" i="30"/>
  <c r="B116" i="30"/>
  <c r="C115" i="30"/>
  <c r="B115" i="30"/>
  <c r="C114" i="30"/>
  <c r="B114" i="30"/>
  <c r="C113" i="30"/>
  <c r="B113" i="30"/>
  <c r="C112" i="30"/>
  <c r="B112" i="30"/>
  <c r="C111" i="30"/>
  <c r="B111" i="30"/>
  <c r="C110" i="30"/>
  <c r="B110" i="30"/>
  <c r="C109" i="30"/>
  <c r="B109" i="30"/>
  <c r="C108" i="30"/>
  <c r="B108" i="30"/>
  <c r="C107" i="30"/>
  <c r="B107" i="30"/>
  <c r="C106" i="30"/>
  <c r="B106" i="30"/>
  <c r="C105" i="30"/>
  <c r="B105" i="30"/>
  <c r="C104" i="30"/>
  <c r="B104" i="30"/>
  <c r="C103" i="30"/>
  <c r="B103" i="30"/>
  <c r="C102" i="30"/>
  <c r="B102" i="30"/>
  <c r="C101" i="30"/>
  <c r="B101" i="30"/>
  <c r="C100" i="30"/>
  <c r="B100" i="30"/>
  <c r="C99" i="30"/>
  <c r="B99" i="30"/>
  <c r="C98" i="30"/>
  <c r="B98" i="30"/>
  <c r="C97" i="30"/>
  <c r="B97" i="30"/>
  <c r="C96" i="30"/>
  <c r="B96" i="30"/>
  <c r="C95" i="30"/>
  <c r="B95" i="30"/>
  <c r="C94" i="30"/>
  <c r="B94" i="30"/>
  <c r="C93" i="30"/>
  <c r="B93" i="30"/>
  <c r="C92" i="30"/>
  <c r="B92" i="30"/>
  <c r="C91" i="30"/>
  <c r="B91" i="30"/>
  <c r="C90" i="30"/>
  <c r="B90" i="30"/>
  <c r="C89" i="30"/>
  <c r="B89" i="30"/>
  <c r="C88" i="30"/>
  <c r="B88" i="30"/>
  <c r="C87" i="30"/>
  <c r="B87" i="30"/>
  <c r="C86" i="30"/>
  <c r="B86" i="30"/>
  <c r="C85" i="30"/>
  <c r="B85" i="30"/>
  <c r="C84" i="30"/>
  <c r="B84" i="30"/>
  <c r="C83" i="30"/>
  <c r="B83" i="30"/>
  <c r="C82" i="30"/>
  <c r="B82" i="30"/>
  <c r="C81" i="30"/>
  <c r="B81" i="30"/>
  <c r="C80" i="30"/>
  <c r="B80" i="30"/>
  <c r="C79" i="30"/>
  <c r="B79" i="30"/>
  <c r="C78" i="30"/>
  <c r="B78" i="30"/>
  <c r="C77" i="30"/>
  <c r="B77" i="30"/>
  <c r="C76" i="30"/>
  <c r="B76" i="30"/>
  <c r="C75" i="30"/>
  <c r="B75" i="30"/>
  <c r="C74" i="30"/>
  <c r="B74" i="30"/>
  <c r="C73" i="30"/>
  <c r="B73" i="30"/>
  <c r="C72" i="30"/>
  <c r="B72" i="30"/>
  <c r="C71" i="30"/>
  <c r="B71" i="30"/>
  <c r="C70" i="30"/>
  <c r="B70" i="30"/>
  <c r="C61" i="30"/>
  <c r="B61" i="30"/>
  <c r="C58" i="30"/>
  <c r="B58" i="30"/>
  <c r="C55" i="30"/>
  <c r="B55" i="30"/>
  <c r="C54" i="30"/>
  <c r="B54" i="30"/>
  <c r="C53" i="30"/>
  <c r="B53" i="30"/>
  <c r="C52" i="30"/>
  <c r="B52" i="30"/>
  <c r="C51" i="30"/>
  <c r="B51" i="30"/>
  <c r="C50" i="30"/>
  <c r="B50" i="30"/>
  <c r="C49" i="30"/>
  <c r="B49" i="30"/>
  <c r="C46" i="30"/>
  <c r="B46" i="30"/>
  <c r="C45" i="30"/>
  <c r="B45" i="30"/>
  <c r="C39" i="30"/>
  <c r="B39" i="30"/>
  <c r="C38" i="30"/>
  <c r="B38" i="30"/>
  <c r="C37" i="30"/>
  <c r="B37" i="30"/>
  <c r="C36" i="30"/>
  <c r="B36" i="30"/>
  <c r="C35" i="30"/>
  <c r="B35" i="30"/>
  <c r="C34" i="30"/>
  <c r="B34" i="30"/>
  <c r="C33" i="30"/>
  <c r="B33" i="30"/>
  <c r="C32" i="30"/>
  <c r="B32" i="30"/>
  <c r="C31" i="30"/>
  <c r="B31" i="30"/>
  <c r="C30" i="30"/>
  <c r="B30" i="30"/>
  <c r="C29" i="30"/>
  <c r="B29" i="30"/>
  <c r="C28" i="30"/>
  <c r="B28" i="30"/>
  <c r="C27" i="30"/>
  <c r="B27" i="30"/>
  <c r="C24" i="30"/>
  <c r="B24" i="30"/>
  <c r="C23" i="30"/>
  <c r="B23" i="30"/>
  <c r="C20" i="30"/>
  <c r="B20" i="30"/>
  <c r="C17" i="30"/>
  <c r="B17" i="30"/>
  <c r="C16" i="30"/>
  <c r="B16" i="30"/>
  <c r="C15" i="30"/>
  <c r="B15" i="30"/>
  <c r="C14" i="30"/>
  <c r="B14" i="30"/>
  <c r="C13" i="30"/>
  <c r="B13" i="30"/>
  <c r="C12" i="30"/>
  <c r="B12" i="30"/>
  <c r="F326" i="30"/>
  <c r="E326" i="30"/>
  <c r="F325" i="30"/>
  <c r="E325" i="30"/>
  <c r="F322" i="30"/>
  <c r="E322" i="30"/>
  <c r="F321" i="30"/>
  <c r="E321" i="30"/>
  <c r="F320" i="30"/>
  <c r="E320" i="30"/>
  <c r="F319" i="30"/>
  <c r="E319" i="30"/>
  <c r="F318" i="30"/>
  <c r="E318" i="30"/>
  <c r="F317" i="30"/>
  <c r="E317" i="30"/>
  <c r="F316" i="30"/>
  <c r="E316" i="30"/>
  <c r="F315" i="30"/>
  <c r="E315" i="30"/>
  <c r="F314" i="30"/>
  <c r="E314" i="30"/>
  <c r="F310" i="30"/>
  <c r="E310" i="30"/>
  <c r="F309" i="30"/>
  <c r="E309" i="30"/>
  <c r="F308" i="30"/>
  <c r="E308" i="30"/>
  <c r="F307" i="30"/>
  <c r="E307" i="30"/>
  <c r="F306" i="30"/>
  <c r="E306" i="30"/>
  <c r="F305" i="30"/>
  <c r="E305" i="30"/>
  <c r="F304" i="30"/>
  <c r="E304" i="30"/>
  <c r="F303" i="30"/>
  <c r="E303" i="30"/>
  <c r="F302" i="30"/>
  <c r="E302" i="30"/>
  <c r="F301" i="30"/>
  <c r="E301" i="30"/>
  <c r="F300" i="30"/>
  <c r="E300" i="30"/>
  <c r="F299" i="30"/>
  <c r="E299" i="30"/>
  <c r="F298" i="30"/>
  <c r="E298" i="30"/>
  <c r="F297" i="30"/>
  <c r="E297" i="30"/>
  <c r="F296" i="30"/>
  <c r="E296" i="30"/>
  <c r="F295" i="30"/>
  <c r="E295" i="30"/>
  <c r="F294" i="30"/>
  <c r="E294" i="30"/>
  <c r="F293" i="30"/>
  <c r="E293" i="30"/>
  <c r="F292" i="30"/>
  <c r="E292" i="30"/>
  <c r="F291" i="30"/>
  <c r="E291" i="30"/>
  <c r="F288" i="30"/>
  <c r="E288" i="30"/>
  <c r="F281" i="30"/>
  <c r="E281" i="30"/>
  <c r="F276" i="30"/>
  <c r="D62" i="26" s="1"/>
  <c r="E276" i="30"/>
  <c r="C62" i="26" s="1"/>
  <c r="F275" i="30"/>
  <c r="D61" i="26" s="1"/>
  <c r="E275" i="30"/>
  <c r="C61" i="26" s="1"/>
  <c r="F266" i="30"/>
  <c r="E266" i="30"/>
  <c r="F265" i="30"/>
  <c r="E265" i="30"/>
  <c r="F262" i="30"/>
  <c r="D54" i="26" s="1"/>
  <c r="E262" i="30"/>
  <c r="C54" i="26" s="1"/>
  <c r="F261" i="30"/>
  <c r="D53" i="26" s="1"/>
  <c r="E261" i="30"/>
  <c r="C53" i="26" s="1"/>
  <c r="F260" i="30"/>
  <c r="D52" i="26" s="1"/>
  <c r="E260" i="30"/>
  <c r="C52" i="26" s="1"/>
  <c r="F259" i="30"/>
  <c r="D51" i="26" s="1"/>
  <c r="E259" i="30"/>
  <c r="C51" i="26" s="1"/>
  <c r="F257" i="30"/>
  <c r="D49" i="26" s="1"/>
  <c r="E257" i="30"/>
  <c r="C49" i="26" s="1"/>
  <c r="F254" i="30"/>
  <c r="E254" i="30"/>
  <c r="F224" i="30"/>
  <c r="E224" i="30"/>
  <c r="F205" i="30"/>
  <c r="E205" i="30"/>
  <c r="F204" i="30"/>
  <c r="E204" i="30"/>
  <c r="F203" i="30"/>
  <c r="E203" i="30"/>
  <c r="F202" i="30"/>
  <c r="E202" i="30"/>
  <c r="F201" i="30"/>
  <c r="E201" i="30"/>
  <c r="F200" i="30"/>
  <c r="E200" i="30"/>
  <c r="F199" i="30"/>
  <c r="E199" i="30"/>
  <c r="F198" i="30"/>
  <c r="E198" i="30"/>
  <c r="F197" i="30"/>
  <c r="E197" i="30"/>
  <c r="F196" i="30"/>
  <c r="E196" i="30"/>
  <c r="F195" i="30"/>
  <c r="E195" i="30"/>
  <c r="F194" i="30"/>
  <c r="E194" i="30"/>
  <c r="F193" i="30"/>
  <c r="E193" i="30"/>
  <c r="F192" i="30"/>
  <c r="E192" i="30"/>
  <c r="F191" i="30"/>
  <c r="E191" i="30"/>
  <c r="F190" i="30"/>
  <c r="E190" i="30"/>
  <c r="F189" i="30"/>
  <c r="E189" i="30"/>
  <c r="F188" i="30"/>
  <c r="E188" i="30"/>
  <c r="F187" i="30"/>
  <c r="E187" i="30"/>
  <c r="F186" i="30"/>
  <c r="E186" i="30"/>
  <c r="F185" i="30"/>
  <c r="E185" i="30"/>
  <c r="F184" i="30"/>
  <c r="E184" i="30"/>
  <c r="F183" i="30"/>
  <c r="E183" i="30"/>
  <c r="F182" i="30"/>
  <c r="E182" i="30"/>
  <c r="F181" i="30"/>
  <c r="E181" i="30"/>
  <c r="F180" i="30"/>
  <c r="E180" i="30"/>
  <c r="F179" i="30"/>
  <c r="E179" i="30"/>
  <c r="F178" i="30"/>
  <c r="E178" i="30"/>
  <c r="F177" i="30"/>
  <c r="E177" i="30"/>
  <c r="F176" i="30"/>
  <c r="E176" i="30"/>
  <c r="F175" i="30"/>
  <c r="E175" i="30"/>
  <c r="F174" i="30"/>
  <c r="E174" i="30"/>
  <c r="F173" i="30"/>
  <c r="E173" i="30"/>
  <c r="F172" i="30"/>
  <c r="E172" i="30"/>
  <c r="F171" i="30"/>
  <c r="E171" i="30"/>
  <c r="F170" i="30"/>
  <c r="E170" i="30"/>
  <c r="F167" i="30"/>
  <c r="E167" i="30"/>
  <c r="F166" i="30"/>
  <c r="E166" i="30"/>
  <c r="F165" i="30"/>
  <c r="E165" i="30"/>
  <c r="F164" i="30"/>
  <c r="E164" i="30"/>
  <c r="F163" i="30"/>
  <c r="E163" i="30"/>
  <c r="F162" i="30"/>
  <c r="E162" i="30"/>
  <c r="F161" i="30"/>
  <c r="E161" i="30"/>
  <c r="F160" i="30"/>
  <c r="E160" i="30"/>
  <c r="F159" i="30"/>
  <c r="E159" i="30"/>
  <c r="F158" i="30"/>
  <c r="E158" i="30"/>
  <c r="F157" i="30"/>
  <c r="E157" i="30"/>
  <c r="F156" i="30"/>
  <c r="E156" i="30"/>
  <c r="F155" i="30"/>
  <c r="E155" i="30"/>
  <c r="F154" i="30"/>
  <c r="E154" i="30"/>
  <c r="F153" i="30"/>
  <c r="E153" i="30"/>
  <c r="F152" i="30"/>
  <c r="E152" i="30"/>
  <c r="F151" i="30"/>
  <c r="E151" i="30"/>
  <c r="F150" i="30"/>
  <c r="E150" i="30"/>
  <c r="F149" i="30"/>
  <c r="E149" i="30"/>
  <c r="F148" i="30"/>
  <c r="E148" i="30"/>
  <c r="F147" i="30"/>
  <c r="E147" i="30"/>
  <c r="F146" i="30"/>
  <c r="E146" i="30"/>
  <c r="F145" i="30"/>
  <c r="E145" i="30"/>
  <c r="F144" i="30"/>
  <c r="E144" i="30"/>
  <c r="F143" i="30"/>
  <c r="E143" i="30"/>
  <c r="F142" i="30"/>
  <c r="E142" i="30"/>
  <c r="F141" i="30"/>
  <c r="E141" i="30"/>
  <c r="F140" i="30"/>
  <c r="E140" i="30"/>
  <c r="F137" i="30"/>
  <c r="E137" i="30"/>
  <c r="F136" i="30"/>
  <c r="E136" i="30"/>
  <c r="F135" i="30"/>
  <c r="E135" i="30"/>
  <c r="F134" i="30"/>
  <c r="E134" i="30"/>
  <c r="F133" i="30"/>
  <c r="E133" i="30"/>
  <c r="F132" i="30"/>
  <c r="E132" i="30"/>
  <c r="F131" i="30"/>
  <c r="E131" i="30"/>
  <c r="F130" i="30"/>
  <c r="E130" i="30"/>
  <c r="F129" i="30"/>
  <c r="E129" i="30"/>
  <c r="F128" i="30"/>
  <c r="E128" i="30"/>
  <c r="F127" i="30"/>
  <c r="E127" i="30"/>
  <c r="F126" i="30"/>
  <c r="E126" i="30"/>
  <c r="F125" i="30"/>
  <c r="E125" i="30"/>
  <c r="F124" i="30"/>
  <c r="E124" i="30"/>
  <c r="F123" i="30"/>
  <c r="E123" i="30"/>
  <c r="F122" i="30"/>
  <c r="E122" i="30"/>
  <c r="F121" i="30"/>
  <c r="E121" i="30"/>
  <c r="F120" i="30"/>
  <c r="E120" i="30"/>
  <c r="F119" i="30"/>
  <c r="E119" i="30"/>
  <c r="F118" i="30"/>
  <c r="E118" i="30"/>
  <c r="F117" i="30"/>
  <c r="E117" i="30"/>
  <c r="F116" i="30"/>
  <c r="E116" i="30"/>
  <c r="F115" i="30"/>
  <c r="E115" i="30"/>
  <c r="F114" i="30"/>
  <c r="E114" i="30"/>
  <c r="F113" i="30"/>
  <c r="E113" i="30"/>
  <c r="F112" i="30"/>
  <c r="E112" i="30"/>
  <c r="F111" i="30"/>
  <c r="E111" i="30"/>
  <c r="F110" i="30"/>
  <c r="E110" i="30"/>
  <c r="F109" i="30"/>
  <c r="E109" i="30"/>
  <c r="F108" i="30"/>
  <c r="E108" i="30"/>
  <c r="F107" i="30"/>
  <c r="E107" i="30"/>
  <c r="F106" i="30"/>
  <c r="E106" i="30"/>
  <c r="F105" i="30"/>
  <c r="E105" i="30"/>
  <c r="F104" i="30"/>
  <c r="E104" i="30"/>
  <c r="F103" i="30"/>
  <c r="E103" i="30"/>
  <c r="F102" i="30"/>
  <c r="E102" i="30"/>
  <c r="F101" i="30"/>
  <c r="E101" i="30"/>
  <c r="F100" i="30"/>
  <c r="E100" i="30"/>
  <c r="F99" i="30"/>
  <c r="E99" i="30"/>
  <c r="F98" i="30"/>
  <c r="E98" i="30"/>
  <c r="F97" i="30"/>
  <c r="E97" i="30"/>
  <c r="F96" i="30"/>
  <c r="E96" i="30"/>
  <c r="F95" i="30"/>
  <c r="E95" i="30"/>
  <c r="F94" i="30"/>
  <c r="E94" i="30"/>
  <c r="F93" i="30"/>
  <c r="E93" i="30"/>
  <c r="F92" i="30"/>
  <c r="E92" i="30"/>
  <c r="F91" i="30"/>
  <c r="E91" i="30"/>
  <c r="F90" i="30"/>
  <c r="E90" i="30"/>
  <c r="F89" i="30"/>
  <c r="E89" i="30"/>
  <c r="F88" i="30"/>
  <c r="E88" i="30"/>
  <c r="F87" i="30"/>
  <c r="E87" i="30"/>
  <c r="F86" i="30"/>
  <c r="E86" i="30"/>
  <c r="F85" i="30"/>
  <c r="E85" i="30"/>
  <c r="F84" i="30"/>
  <c r="E84" i="30"/>
  <c r="F83" i="30"/>
  <c r="E83" i="30"/>
  <c r="F82" i="30"/>
  <c r="E82" i="30"/>
  <c r="F81" i="30"/>
  <c r="E81" i="30"/>
  <c r="F80" i="30"/>
  <c r="E80" i="30"/>
  <c r="F79" i="30"/>
  <c r="E79" i="30"/>
  <c r="F78" i="30"/>
  <c r="E78" i="30"/>
  <c r="F77" i="30"/>
  <c r="E77" i="30"/>
  <c r="F76" i="30"/>
  <c r="E76" i="30"/>
  <c r="F75" i="30"/>
  <c r="E75" i="30"/>
  <c r="F74" i="30"/>
  <c r="E74" i="30"/>
  <c r="F73" i="30"/>
  <c r="E73" i="30"/>
  <c r="F72" i="30"/>
  <c r="E72" i="30"/>
  <c r="F71" i="30"/>
  <c r="E71" i="30"/>
  <c r="F70" i="30"/>
  <c r="E70" i="30"/>
  <c r="F61" i="30"/>
  <c r="E61" i="30"/>
  <c r="F58" i="30"/>
  <c r="E58" i="30"/>
  <c r="F55" i="30"/>
  <c r="E55" i="30"/>
  <c r="F54" i="30"/>
  <c r="E54" i="30"/>
  <c r="F53" i="30"/>
  <c r="E53" i="30"/>
  <c r="F52" i="30"/>
  <c r="E52" i="30"/>
  <c r="F51" i="30"/>
  <c r="E51" i="30"/>
  <c r="F50" i="30"/>
  <c r="E50" i="30"/>
  <c r="F49" i="30"/>
  <c r="E49" i="30"/>
  <c r="F46" i="30"/>
  <c r="E46" i="30"/>
  <c r="F45" i="30"/>
  <c r="E45" i="30"/>
  <c r="F39" i="30"/>
  <c r="E39" i="30"/>
  <c r="F38" i="30"/>
  <c r="E38" i="30"/>
  <c r="F37" i="30"/>
  <c r="E37" i="30"/>
  <c r="F36" i="30"/>
  <c r="E36" i="30"/>
  <c r="F35" i="30"/>
  <c r="E35" i="30"/>
  <c r="F34" i="30"/>
  <c r="E34" i="30"/>
  <c r="F33" i="30"/>
  <c r="E33" i="30"/>
  <c r="F32" i="30"/>
  <c r="E32" i="30"/>
  <c r="F31" i="30"/>
  <c r="E31" i="30"/>
  <c r="F30" i="30"/>
  <c r="E30" i="30"/>
  <c r="F29" i="30"/>
  <c r="E29" i="30"/>
  <c r="F28" i="30"/>
  <c r="E28" i="30"/>
  <c r="F27" i="30"/>
  <c r="E27" i="30"/>
  <c r="F24" i="30"/>
  <c r="E24" i="30"/>
  <c r="F23" i="30"/>
  <c r="E23" i="30"/>
  <c r="F20" i="30"/>
  <c r="E20" i="30"/>
  <c r="F17" i="30"/>
  <c r="E17" i="30"/>
  <c r="F16" i="30"/>
  <c r="E16" i="30"/>
  <c r="F15" i="30"/>
  <c r="E15" i="30"/>
  <c r="F14" i="30"/>
  <c r="E14" i="30"/>
  <c r="F13" i="30"/>
  <c r="E13" i="30"/>
  <c r="F12" i="30"/>
  <c r="E12" i="30"/>
  <c r="D326" i="30"/>
  <c r="D325" i="30"/>
  <c r="D322" i="30"/>
  <c r="D321" i="30"/>
  <c r="D320" i="30"/>
  <c r="D319" i="30"/>
  <c r="D318" i="30"/>
  <c r="D317" i="30"/>
  <c r="D316" i="30"/>
  <c r="D315" i="30"/>
  <c r="D314" i="30"/>
  <c r="D311" i="30"/>
  <c r="D310" i="30"/>
  <c r="D309" i="30"/>
  <c r="D308" i="30"/>
  <c r="D307" i="30"/>
  <c r="D306" i="30"/>
  <c r="D305" i="30"/>
  <c r="D304" i="30"/>
  <c r="D303" i="30"/>
  <c r="D302" i="30"/>
  <c r="D301" i="30"/>
  <c r="D300" i="30"/>
  <c r="D299" i="30"/>
  <c r="D298" i="30"/>
  <c r="D297" i="30"/>
  <c r="D296" i="30"/>
  <c r="D295" i="30"/>
  <c r="D294" i="30"/>
  <c r="D293" i="30"/>
  <c r="D292" i="30"/>
  <c r="D291" i="30"/>
  <c r="D290" i="30"/>
  <c r="D289" i="30"/>
  <c r="D288" i="30"/>
  <c r="D281" i="30"/>
  <c r="D280" i="30"/>
  <c r="D279" i="30"/>
  <c r="D276" i="30"/>
  <c r="D275" i="30"/>
  <c r="D271" i="30"/>
  <c r="D266" i="30"/>
  <c r="D265" i="30"/>
  <c r="D262" i="30"/>
  <c r="D261" i="30"/>
  <c r="D260" i="30"/>
  <c r="D259" i="30"/>
  <c r="D258" i="30"/>
  <c r="D257" i="30"/>
  <c r="D254" i="30"/>
  <c r="D251" i="30"/>
  <c r="D250" i="30"/>
  <c r="D249" i="30"/>
  <c r="D246" i="30"/>
  <c r="D245" i="30"/>
  <c r="D239" i="30"/>
  <c r="D238" i="30"/>
  <c r="D237" i="30"/>
  <c r="D236" i="30"/>
  <c r="D235" i="30"/>
  <c r="D234" i="30"/>
  <c r="D233" i="30"/>
  <c r="D232" i="30"/>
  <c r="D231" i="30"/>
  <c r="D230" i="30"/>
  <c r="D229" i="30"/>
  <c r="D228" i="30"/>
  <c r="D227" i="30"/>
  <c r="D224" i="30"/>
  <c r="D221" i="30"/>
  <c r="D220" i="30"/>
  <c r="D219" i="30"/>
  <c r="D218" i="30"/>
  <c r="D217" i="30"/>
  <c r="D216" i="30"/>
  <c r="D215" i="30"/>
  <c r="D212" i="30"/>
  <c r="E212" i="30" s="1"/>
  <c r="C13" i="26" s="1"/>
  <c r="D211" i="30"/>
  <c r="D210" i="30"/>
  <c r="D209" i="30"/>
  <c r="D208" i="30"/>
  <c r="D205" i="30"/>
  <c r="D204" i="30"/>
  <c r="D203" i="30"/>
  <c r="D202" i="30"/>
  <c r="D201" i="30"/>
  <c r="D200" i="30"/>
  <c r="D199" i="30"/>
  <c r="D198" i="30"/>
  <c r="D197" i="30"/>
  <c r="D196" i="30"/>
  <c r="D195" i="30"/>
  <c r="D194" i="30"/>
  <c r="D193" i="30"/>
  <c r="D192" i="30"/>
  <c r="D191" i="30"/>
  <c r="D190" i="30"/>
  <c r="D189" i="30"/>
  <c r="D188" i="30"/>
  <c r="D187" i="30"/>
  <c r="D186" i="30"/>
  <c r="D185" i="30"/>
  <c r="D184" i="30"/>
  <c r="D183" i="30"/>
  <c r="D182" i="30"/>
  <c r="D181" i="30"/>
  <c r="D180" i="30"/>
  <c r="D179" i="30"/>
  <c r="D178" i="30"/>
  <c r="D177" i="30"/>
  <c r="D176" i="30"/>
  <c r="D175" i="30"/>
  <c r="D174" i="30"/>
  <c r="D173" i="30"/>
  <c r="D172" i="30"/>
  <c r="D171" i="30"/>
  <c r="D170" i="30"/>
  <c r="D167" i="30"/>
  <c r="D166" i="30"/>
  <c r="D165" i="30"/>
  <c r="D164" i="30"/>
  <c r="D163" i="30"/>
  <c r="D162" i="30"/>
  <c r="D161" i="30"/>
  <c r="D160" i="30"/>
  <c r="D159" i="30"/>
  <c r="D158" i="30"/>
  <c r="D157" i="30"/>
  <c r="D156" i="30"/>
  <c r="D155" i="30"/>
  <c r="D154" i="30"/>
  <c r="D153" i="30"/>
  <c r="D152" i="30"/>
  <c r="D151" i="30"/>
  <c r="D150" i="30"/>
  <c r="D149" i="30"/>
  <c r="D148" i="30"/>
  <c r="D147" i="30"/>
  <c r="D146" i="30"/>
  <c r="D145" i="30"/>
  <c r="D144" i="30"/>
  <c r="D143" i="30"/>
  <c r="D142" i="30"/>
  <c r="D141" i="30"/>
  <c r="D140" i="30"/>
  <c r="D137" i="30"/>
  <c r="D136" i="30"/>
  <c r="D135" i="30"/>
  <c r="D134" i="30"/>
  <c r="D133" i="30"/>
  <c r="D132" i="30"/>
  <c r="D131" i="30"/>
  <c r="D130" i="30"/>
  <c r="D129" i="30"/>
  <c r="D128" i="30"/>
  <c r="D127" i="30"/>
  <c r="D126" i="30"/>
  <c r="D125" i="30"/>
  <c r="D124" i="30"/>
  <c r="D123" i="30"/>
  <c r="D122" i="30"/>
  <c r="D121" i="30"/>
  <c r="D120" i="30"/>
  <c r="D119" i="30"/>
  <c r="D118" i="30"/>
  <c r="D117" i="30"/>
  <c r="D116" i="30"/>
  <c r="D115" i="30"/>
  <c r="D114" i="30"/>
  <c r="D113" i="30"/>
  <c r="D112" i="30"/>
  <c r="D111" i="30"/>
  <c r="D110" i="30"/>
  <c r="D109" i="30"/>
  <c r="D108" i="30"/>
  <c r="D107" i="30"/>
  <c r="D106" i="30"/>
  <c r="D105" i="30"/>
  <c r="D104" i="30"/>
  <c r="D103" i="30"/>
  <c r="D102" i="30"/>
  <c r="D101" i="30"/>
  <c r="D100" i="30"/>
  <c r="D99" i="30"/>
  <c r="D98" i="30"/>
  <c r="D97" i="30"/>
  <c r="D96" i="30"/>
  <c r="D95" i="30"/>
  <c r="D94" i="30"/>
  <c r="D93" i="30"/>
  <c r="D92" i="30"/>
  <c r="D91" i="30"/>
  <c r="D90" i="30"/>
  <c r="D89" i="30"/>
  <c r="D88" i="30"/>
  <c r="D87" i="30"/>
  <c r="D86" i="30"/>
  <c r="D85" i="30"/>
  <c r="D84" i="30"/>
  <c r="D83" i="30"/>
  <c r="D82" i="30"/>
  <c r="D81" i="30"/>
  <c r="D80" i="30"/>
  <c r="D79" i="30"/>
  <c r="D78" i="30"/>
  <c r="D77" i="30"/>
  <c r="D76" i="30"/>
  <c r="D75" i="30"/>
  <c r="D74" i="30"/>
  <c r="D73" i="30"/>
  <c r="D72" i="30"/>
  <c r="D71" i="30"/>
  <c r="D70" i="30"/>
  <c r="D61" i="30"/>
  <c r="D58" i="30"/>
  <c r="D55" i="30"/>
  <c r="D54" i="30"/>
  <c r="D53" i="30"/>
  <c r="D52" i="30"/>
  <c r="D51" i="30"/>
  <c r="D50" i="30"/>
  <c r="D49" i="30"/>
  <c r="D46" i="30"/>
  <c r="D45" i="30"/>
  <c r="D39" i="30"/>
  <c r="D38" i="30"/>
  <c r="D37" i="30"/>
  <c r="D36" i="30"/>
  <c r="D35" i="30"/>
  <c r="D34" i="30"/>
  <c r="D33" i="30"/>
  <c r="D32" i="30"/>
  <c r="D31" i="30"/>
  <c r="D30" i="30"/>
  <c r="D29" i="30"/>
  <c r="D28" i="30"/>
  <c r="D27" i="30"/>
  <c r="D24" i="30"/>
  <c r="D23" i="30"/>
  <c r="D20" i="30"/>
  <c r="D17" i="30"/>
  <c r="D16" i="30"/>
  <c r="D15" i="30"/>
  <c r="D14" i="30"/>
  <c r="D13" i="30"/>
  <c r="D12" i="30"/>
  <c r="C63" i="26" l="1"/>
  <c r="H62" i="26"/>
  <c r="H61" i="26"/>
  <c r="D63" i="26"/>
  <c r="F212" i="30"/>
  <c r="D13" i="26" s="1"/>
  <c r="E290" i="30"/>
  <c r="G290" i="30" s="1"/>
  <c r="E289" i="30"/>
  <c r="F290" i="30"/>
  <c r="H290" i="30" s="1"/>
  <c r="G326" i="30"/>
  <c r="F327" i="30"/>
  <c r="E327" i="30"/>
  <c r="D327" i="30"/>
  <c r="G325" i="30"/>
  <c r="G322" i="30"/>
  <c r="G321" i="30"/>
  <c r="H320" i="30"/>
  <c r="G320" i="30"/>
  <c r="G319" i="30"/>
  <c r="G318" i="30"/>
  <c r="G317" i="30"/>
  <c r="H316" i="30"/>
  <c r="G316" i="30"/>
  <c r="G315" i="30"/>
  <c r="G314" i="30"/>
  <c r="F323" i="30"/>
  <c r="E323" i="30"/>
  <c r="D323" i="30"/>
  <c r="B323" i="30"/>
  <c r="G311" i="30"/>
  <c r="G310" i="30"/>
  <c r="H310" i="30"/>
  <c r="G309" i="30"/>
  <c r="G308" i="30"/>
  <c r="H308" i="30"/>
  <c r="G307" i="30"/>
  <c r="G306" i="30"/>
  <c r="H306" i="30"/>
  <c r="G305" i="30"/>
  <c r="G304" i="30"/>
  <c r="H304" i="30"/>
  <c r="G303" i="30"/>
  <c r="G302" i="30"/>
  <c r="H302" i="30"/>
  <c r="G301" i="30"/>
  <c r="G300" i="30"/>
  <c r="H300" i="30"/>
  <c r="G299" i="30"/>
  <c r="G298" i="30"/>
  <c r="H298" i="30"/>
  <c r="G297" i="30"/>
  <c r="G296" i="30"/>
  <c r="H296" i="30"/>
  <c r="G295" i="30"/>
  <c r="G294" i="30"/>
  <c r="H294" i="30"/>
  <c r="G293" i="30"/>
  <c r="G292" i="30"/>
  <c r="H292" i="30"/>
  <c r="G291" i="30"/>
  <c r="G288" i="30"/>
  <c r="D312" i="30"/>
  <c r="H288" i="30"/>
  <c r="B312" i="30"/>
  <c r="G281" i="30"/>
  <c r="D282" i="30"/>
  <c r="D37" i="25" s="1"/>
  <c r="B282" i="30"/>
  <c r="B37" i="25" s="1"/>
  <c r="G276" i="30"/>
  <c r="H276" i="30"/>
  <c r="F277" i="30"/>
  <c r="E277" i="30"/>
  <c r="D277" i="30"/>
  <c r="D36" i="25" s="1"/>
  <c r="G275" i="30"/>
  <c r="B272" i="30"/>
  <c r="B35" i="25" s="1"/>
  <c r="D272" i="30"/>
  <c r="D35" i="25" s="1"/>
  <c r="F267" i="30"/>
  <c r="G266" i="30"/>
  <c r="G265" i="30"/>
  <c r="E267" i="30"/>
  <c r="D267" i="30"/>
  <c r="D34" i="25" s="1"/>
  <c r="H265" i="30"/>
  <c r="B267" i="30"/>
  <c r="B34" i="25" s="1"/>
  <c r="G262" i="30"/>
  <c r="G261" i="30"/>
  <c r="H261" i="30"/>
  <c r="G260" i="30"/>
  <c r="G259" i="30"/>
  <c r="H259" i="30"/>
  <c r="G257" i="30"/>
  <c r="D263" i="30"/>
  <c r="D33" i="25" s="1"/>
  <c r="H257" i="30"/>
  <c r="B263" i="30"/>
  <c r="B33" i="25" s="1"/>
  <c r="C255" i="30"/>
  <c r="C32" i="25" s="1"/>
  <c r="F255" i="30"/>
  <c r="E255" i="30"/>
  <c r="D255" i="30"/>
  <c r="D32" i="25" s="1"/>
  <c r="B255" i="30"/>
  <c r="B32" i="25" s="1"/>
  <c r="D252" i="30"/>
  <c r="D31" i="25" s="1"/>
  <c r="C247" i="30"/>
  <c r="C30" i="25" s="1"/>
  <c r="B247" i="30"/>
  <c r="B30" i="25" s="1"/>
  <c r="D247" i="30"/>
  <c r="D30" i="25" s="1"/>
  <c r="D240" i="30"/>
  <c r="D29" i="25" s="1"/>
  <c r="C240" i="30"/>
  <c r="C29" i="25" s="1"/>
  <c r="B240" i="30"/>
  <c r="B29" i="25" s="1"/>
  <c r="H224" i="30"/>
  <c r="H225" i="30" s="1"/>
  <c r="C29" i="24" s="1"/>
  <c r="F225" i="30"/>
  <c r="G224" i="30"/>
  <c r="D225" i="30"/>
  <c r="D28" i="25" s="1"/>
  <c r="C225" i="30"/>
  <c r="C28" i="25" s="1"/>
  <c r="B225" i="30"/>
  <c r="B28" i="25" s="1"/>
  <c r="D222" i="30"/>
  <c r="D27" i="25" s="1"/>
  <c r="C222" i="30"/>
  <c r="C27" i="25" s="1"/>
  <c r="B222" i="30"/>
  <c r="B27" i="25" s="1"/>
  <c r="G212" i="30"/>
  <c r="D213" i="30"/>
  <c r="D26" i="25" s="1"/>
  <c r="C213" i="30"/>
  <c r="C26" i="25" s="1"/>
  <c r="H205" i="30"/>
  <c r="G205" i="30"/>
  <c r="H204" i="30"/>
  <c r="G204" i="30"/>
  <c r="H203" i="30"/>
  <c r="G203" i="30"/>
  <c r="H202" i="30"/>
  <c r="H201" i="30"/>
  <c r="G201" i="30"/>
  <c r="H200" i="30"/>
  <c r="H199" i="30"/>
  <c r="G199" i="30"/>
  <c r="H198" i="30"/>
  <c r="H197" i="30"/>
  <c r="G197" i="30"/>
  <c r="H196" i="30"/>
  <c r="H195" i="30"/>
  <c r="G195" i="30"/>
  <c r="H194" i="30"/>
  <c r="H193" i="30"/>
  <c r="G193" i="30"/>
  <c r="H192" i="30"/>
  <c r="H191" i="30"/>
  <c r="G191" i="30"/>
  <c r="H190" i="30"/>
  <c r="H189" i="30"/>
  <c r="G189" i="30"/>
  <c r="H188" i="30"/>
  <c r="H187" i="30"/>
  <c r="G187" i="30"/>
  <c r="H186" i="30"/>
  <c r="H185" i="30"/>
  <c r="G185" i="30"/>
  <c r="H184" i="30"/>
  <c r="H183" i="30"/>
  <c r="G183" i="30"/>
  <c r="H182" i="30"/>
  <c r="H181" i="30"/>
  <c r="G181" i="30"/>
  <c r="H180" i="30"/>
  <c r="H179" i="30"/>
  <c r="G179" i="30"/>
  <c r="H178" i="30"/>
  <c r="G177" i="30"/>
  <c r="H177" i="30"/>
  <c r="G176" i="30"/>
  <c r="H176" i="30"/>
  <c r="G175" i="30"/>
  <c r="H175" i="30"/>
  <c r="G174" i="30"/>
  <c r="H174" i="30"/>
  <c r="G173" i="30"/>
  <c r="H173" i="30"/>
  <c r="G172" i="30"/>
  <c r="H172" i="30"/>
  <c r="G171" i="30"/>
  <c r="H171" i="30"/>
  <c r="G170" i="30"/>
  <c r="E206" i="30"/>
  <c r="D206" i="30"/>
  <c r="D25" i="25" s="1"/>
  <c r="C206" i="30"/>
  <c r="C25" i="25" s="1"/>
  <c r="G167" i="30"/>
  <c r="H167" i="30"/>
  <c r="G166" i="30"/>
  <c r="H166" i="30"/>
  <c r="G165" i="30"/>
  <c r="H165" i="30"/>
  <c r="G164" i="30"/>
  <c r="H164" i="30"/>
  <c r="G163" i="30"/>
  <c r="H163" i="30"/>
  <c r="G162" i="30"/>
  <c r="H162" i="30"/>
  <c r="G161" i="30"/>
  <c r="H161" i="30"/>
  <c r="G160" i="30"/>
  <c r="H160" i="30"/>
  <c r="G159" i="30"/>
  <c r="H159" i="30"/>
  <c r="G158" i="30"/>
  <c r="H158" i="30"/>
  <c r="G157" i="30"/>
  <c r="H157" i="30"/>
  <c r="G156" i="30"/>
  <c r="H156" i="30"/>
  <c r="G155" i="30"/>
  <c r="H155" i="30"/>
  <c r="G154" i="30"/>
  <c r="H154" i="30"/>
  <c r="G153" i="30"/>
  <c r="H153" i="30"/>
  <c r="G152" i="30"/>
  <c r="H152" i="30"/>
  <c r="G151" i="30"/>
  <c r="H151" i="30"/>
  <c r="H150" i="30"/>
  <c r="G150" i="30"/>
  <c r="H149" i="30"/>
  <c r="G149" i="30"/>
  <c r="H148" i="30"/>
  <c r="G148" i="30"/>
  <c r="H147" i="30"/>
  <c r="G147" i="30"/>
  <c r="H146" i="30"/>
  <c r="G146" i="30"/>
  <c r="H145" i="30"/>
  <c r="G145" i="30"/>
  <c r="H144" i="30"/>
  <c r="G144" i="30"/>
  <c r="H143" i="30"/>
  <c r="G143" i="30"/>
  <c r="H142" i="30"/>
  <c r="G142" i="30"/>
  <c r="H141" i="30"/>
  <c r="G141" i="30"/>
  <c r="F168" i="30"/>
  <c r="E168" i="30"/>
  <c r="D168" i="30"/>
  <c r="D24" i="25" s="1"/>
  <c r="H140" i="30"/>
  <c r="G140" i="30"/>
  <c r="H137" i="30"/>
  <c r="G137" i="30"/>
  <c r="H136" i="30"/>
  <c r="G136" i="30"/>
  <c r="H135" i="30"/>
  <c r="G135" i="30"/>
  <c r="H134" i="30"/>
  <c r="G134" i="30"/>
  <c r="H133" i="30"/>
  <c r="G133" i="30"/>
  <c r="H132" i="30"/>
  <c r="G132" i="30"/>
  <c r="H131" i="30"/>
  <c r="G131" i="30"/>
  <c r="H130" i="30"/>
  <c r="G130" i="30"/>
  <c r="H129" i="30"/>
  <c r="G129" i="30"/>
  <c r="H128" i="30"/>
  <c r="G128" i="30"/>
  <c r="H127" i="30"/>
  <c r="G127" i="30"/>
  <c r="G126" i="30"/>
  <c r="H125" i="30"/>
  <c r="G125" i="30"/>
  <c r="H124" i="30"/>
  <c r="G124" i="30"/>
  <c r="H123" i="30"/>
  <c r="G123" i="30"/>
  <c r="G122" i="30"/>
  <c r="H121" i="30"/>
  <c r="G121" i="30"/>
  <c r="H120" i="30"/>
  <c r="G120" i="30"/>
  <c r="H119" i="30"/>
  <c r="G119" i="30"/>
  <c r="G118" i="30"/>
  <c r="H117" i="30"/>
  <c r="G117" i="30"/>
  <c r="H116" i="30"/>
  <c r="G116" i="30"/>
  <c r="H115" i="30"/>
  <c r="G115" i="30"/>
  <c r="H114" i="30"/>
  <c r="G114" i="30"/>
  <c r="G113" i="30"/>
  <c r="G112" i="30"/>
  <c r="H112" i="30"/>
  <c r="G111" i="30"/>
  <c r="G110" i="30"/>
  <c r="H110" i="30"/>
  <c r="G109" i="30"/>
  <c r="G108" i="30"/>
  <c r="H108" i="30"/>
  <c r="G107" i="30"/>
  <c r="H107" i="30"/>
  <c r="G106" i="30"/>
  <c r="G105" i="30"/>
  <c r="G104" i="30"/>
  <c r="H104" i="30"/>
  <c r="G103" i="30"/>
  <c r="H103" i="30"/>
  <c r="G102" i="30"/>
  <c r="G101" i="30"/>
  <c r="G100" i="30"/>
  <c r="H100" i="30"/>
  <c r="G99" i="30"/>
  <c r="H99" i="30"/>
  <c r="G98" i="30"/>
  <c r="G97" i="30"/>
  <c r="G96" i="30"/>
  <c r="H96" i="30"/>
  <c r="G95" i="30"/>
  <c r="H95" i="30"/>
  <c r="G94" i="30"/>
  <c r="G93" i="30"/>
  <c r="G92" i="30"/>
  <c r="H92" i="30"/>
  <c r="G91" i="30"/>
  <c r="H91" i="30"/>
  <c r="G90" i="30"/>
  <c r="H90" i="30"/>
  <c r="G89" i="30"/>
  <c r="H89" i="30"/>
  <c r="G88" i="30"/>
  <c r="H88" i="30"/>
  <c r="G87" i="30"/>
  <c r="H87" i="30"/>
  <c r="G86" i="30"/>
  <c r="H86" i="30"/>
  <c r="G85" i="30"/>
  <c r="H85" i="30"/>
  <c r="G84" i="30"/>
  <c r="H84" i="30"/>
  <c r="G83" i="30"/>
  <c r="H83" i="30"/>
  <c r="G82" i="30"/>
  <c r="H82" i="30"/>
  <c r="G81" i="30"/>
  <c r="H81" i="30"/>
  <c r="G80" i="30"/>
  <c r="H80" i="30"/>
  <c r="G79" i="30"/>
  <c r="H79" i="30"/>
  <c r="G78" i="30"/>
  <c r="H78" i="30"/>
  <c r="G77" i="30"/>
  <c r="H77" i="30"/>
  <c r="G76" i="30"/>
  <c r="H76" i="30"/>
  <c r="G75" i="30"/>
  <c r="H75" i="30"/>
  <c r="G74" i="30"/>
  <c r="H74" i="30"/>
  <c r="G73" i="30"/>
  <c r="H73" i="30"/>
  <c r="G72" i="30"/>
  <c r="H72" i="30"/>
  <c r="G71" i="30"/>
  <c r="H71" i="30"/>
  <c r="G70" i="30"/>
  <c r="F138" i="30"/>
  <c r="E138" i="30"/>
  <c r="D138" i="30"/>
  <c r="D23" i="25" s="1"/>
  <c r="B138" i="30"/>
  <c r="B23" i="25" s="1"/>
  <c r="G61" i="30"/>
  <c r="F62" i="30"/>
  <c r="E62" i="30"/>
  <c r="D62" i="30"/>
  <c r="D20" i="25" s="1"/>
  <c r="H61" i="30"/>
  <c r="H62" i="30" s="1"/>
  <c r="C21" i="24" s="1"/>
  <c r="B62" i="30"/>
  <c r="B20" i="25" s="1"/>
  <c r="C59" i="30"/>
  <c r="C19" i="25" s="1"/>
  <c r="G58" i="30"/>
  <c r="F59" i="30"/>
  <c r="E59" i="30"/>
  <c r="D59" i="30"/>
  <c r="D19" i="25" s="1"/>
  <c r="H58" i="30"/>
  <c r="H59" i="30" s="1"/>
  <c r="C20" i="24" s="1"/>
  <c r="B59" i="30"/>
  <c r="B19" i="25" s="1"/>
  <c r="G55" i="30"/>
  <c r="H55" i="30"/>
  <c r="H54" i="30"/>
  <c r="G54" i="30"/>
  <c r="G53" i="30"/>
  <c r="H53" i="30"/>
  <c r="H52" i="30"/>
  <c r="G52" i="30"/>
  <c r="G51" i="30"/>
  <c r="H51" i="30"/>
  <c r="H50" i="30"/>
  <c r="G50" i="30"/>
  <c r="F56" i="30"/>
  <c r="E56" i="30"/>
  <c r="D56" i="30"/>
  <c r="D18" i="25" s="1"/>
  <c r="H49" i="30"/>
  <c r="B56" i="30"/>
  <c r="B18" i="25" s="1"/>
  <c r="G46" i="30"/>
  <c r="F47" i="30"/>
  <c r="E47" i="30"/>
  <c r="D47" i="30"/>
  <c r="D17" i="25" s="1"/>
  <c r="H45" i="30"/>
  <c r="G45" i="30"/>
  <c r="G39" i="30"/>
  <c r="G38" i="30"/>
  <c r="G37" i="30"/>
  <c r="H37" i="30"/>
  <c r="H36" i="30"/>
  <c r="G36" i="30"/>
  <c r="G35" i="30"/>
  <c r="G34" i="30"/>
  <c r="G33" i="30"/>
  <c r="H33" i="30"/>
  <c r="H32" i="30"/>
  <c r="G32" i="30"/>
  <c r="G31" i="30"/>
  <c r="G30" i="30"/>
  <c r="G29" i="30"/>
  <c r="H29" i="30"/>
  <c r="G28" i="30"/>
  <c r="H28" i="30"/>
  <c r="F40" i="30"/>
  <c r="E40" i="30"/>
  <c r="D40" i="30"/>
  <c r="D11" i="25" s="1"/>
  <c r="C40" i="30"/>
  <c r="C11" i="25" s="1"/>
  <c r="B40" i="30"/>
  <c r="B11" i="25" s="1"/>
  <c r="H24" i="30"/>
  <c r="G24" i="30"/>
  <c r="H23" i="30"/>
  <c r="E25" i="30"/>
  <c r="D25" i="30"/>
  <c r="D10" i="25" s="1"/>
  <c r="C25" i="30"/>
  <c r="C10" i="25" s="1"/>
  <c r="G23" i="30"/>
  <c r="H20" i="30"/>
  <c r="H21" i="30" s="1"/>
  <c r="C10" i="24" s="1"/>
  <c r="E21" i="30"/>
  <c r="D21" i="30"/>
  <c r="D9" i="25" s="1"/>
  <c r="C21" i="30"/>
  <c r="C9" i="25" s="1"/>
  <c r="G20" i="30"/>
  <c r="H17" i="30"/>
  <c r="G17" i="30"/>
  <c r="H16" i="30"/>
  <c r="G16" i="30"/>
  <c r="H15" i="30"/>
  <c r="G15" i="30"/>
  <c r="H14" i="30"/>
  <c r="G14" i="30"/>
  <c r="H13" i="30"/>
  <c r="G13" i="30"/>
  <c r="H12" i="30"/>
  <c r="E18" i="30"/>
  <c r="D18" i="30"/>
  <c r="D8" i="25" s="1"/>
  <c r="C18" i="30"/>
  <c r="C8" i="25" s="1"/>
  <c r="G12" i="30"/>
  <c r="H212" i="30" l="1"/>
  <c r="I15" i="30"/>
  <c r="I50" i="30"/>
  <c r="I54" i="30"/>
  <c r="I92" i="30"/>
  <c r="I120" i="30"/>
  <c r="I195" i="30"/>
  <c r="I91" i="30"/>
  <c r="I96" i="30"/>
  <c r="I199" i="30"/>
  <c r="I32" i="30"/>
  <c r="F312" i="30"/>
  <c r="F329" i="30" s="1"/>
  <c r="E312" i="30"/>
  <c r="E329" i="30" s="1"/>
  <c r="D329" i="30"/>
  <c r="G289" i="30"/>
  <c r="I28" i="30"/>
  <c r="I33" i="30"/>
  <c r="I14" i="30"/>
  <c r="D241" i="30"/>
  <c r="I128" i="30"/>
  <c r="I130" i="30"/>
  <c r="I132" i="30"/>
  <c r="I136" i="30"/>
  <c r="I201" i="30"/>
  <c r="I103" i="30"/>
  <c r="I116" i="30"/>
  <c r="I205" i="30"/>
  <c r="I36" i="30"/>
  <c r="I99" i="30"/>
  <c r="I107" i="30"/>
  <c r="I117" i="30"/>
  <c r="I124" i="30"/>
  <c r="I204" i="30"/>
  <c r="I212" i="30"/>
  <c r="I37" i="30"/>
  <c r="E63" i="30"/>
  <c r="I95" i="30"/>
  <c r="I104" i="30"/>
  <c r="I13" i="30"/>
  <c r="I17" i="30"/>
  <c r="H56" i="30"/>
  <c r="C19" i="24" s="1"/>
  <c r="I121" i="30"/>
  <c r="I125" i="30"/>
  <c r="I129" i="30"/>
  <c r="I179" i="30"/>
  <c r="I181" i="30"/>
  <c r="I183" i="30"/>
  <c r="I185" i="30"/>
  <c r="I187" i="30"/>
  <c r="I189" i="30"/>
  <c r="I191" i="30"/>
  <c r="I193" i="30"/>
  <c r="I203" i="30"/>
  <c r="H18" i="30"/>
  <c r="C9" i="24" s="1"/>
  <c r="I16" i="30"/>
  <c r="I24" i="30"/>
  <c r="I29" i="30"/>
  <c r="I52" i="30"/>
  <c r="I100" i="30"/>
  <c r="I108" i="30"/>
  <c r="I142" i="30"/>
  <c r="I146" i="30"/>
  <c r="I150" i="30"/>
  <c r="I197" i="30"/>
  <c r="D268" i="30"/>
  <c r="D63" i="30"/>
  <c r="I12" i="30"/>
  <c r="G18" i="30"/>
  <c r="B9" i="24" s="1"/>
  <c r="C41" i="30"/>
  <c r="I20" i="30"/>
  <c r="I21" i="30" s="1"/>
  <c r="G21" i="30"/>
  <c r="B10" i="24" s="1"/>
  <c r="I45" i="30"/>
  <c r="G47" i="30"/>
  <c r="B18" i="24" s="1"/>
  <c r="F63" i="30"/>
  <c r="D41" i="30"/>
  <c r="E41" i="30"/>
  <c r="I23" i="30"/>
  <c r="G25" i="30"/>
  <c r="B11" i="24" s="1"/>
  <c r="H25" i="30"/>
  <c r="C11" i="24" s="1"/>
  <c r="H30" i="30"/>
  <c r="I30" i="30" s="1"/>
  <c r="H34" i="30"/>
  <c r="I34" i="30" s="1"/>
  <c r="H38" i="30"/>
  <c r="I38" i="30" s="1"/>
  <c r="H46" i="30"/>
  <c r="I46" i="30" s="1"/>
  <c r="C56" i="30"/>
  <c r="C18" i="25" s="1"/>
  <c r="I58" i="30"/>
  <c r="I59" i="30" s="1"/>
  <c r="G59" i="30"/>
  <c r="B20" i="24" s="1"/>
  <c r="C62" i="30"/>
  <c r="C20" i="25" s="1"/>
  <c r="C138" i="30"/>
  <c r="C23" i="25" s="1"/>
  <c r="H70" i="30"/>
  <c r="G138" i="30"/>
  <c r="B24" i="24" s="1"/>
  <c r="I72" i="30"/>
  <c r="I74" i="30"/>
  <c r="I76" i="30"/>
  <c r="I78" i="30"/>
  <c r="I80" i="30"/>
  <c r="I82" i="30"/>
  <c r="I84" i="30"/>
  <c r="I86" i="30"/>
  <c r="I88" i="30"/>
  <c r="I90" i="30"/>
  <c r="B18" i="30"/>
  <c r="B8" i="25" s="1"/>
  <c r="F18" i="30"/>
  <c r="B21" i="30"/>
  <c r="B9" i="25" s="1"/>
  <c r="F21" i="30"/>
  <c r="B25" i="30"/>
  <c r="B10" i="25" s="1"/>
  <c r="F25" i="30"/>
  <c r="G27" i="30"/>
  <c r="B47" i="30"/>
  <c r="H27" i="30"/>
  <c r="C47" i="30"/>
  <c r="C17" i="25" s="1"/>
  <c r="G49" i="30"/>
  <c r="I51" i="30"/>
  <c r="I53" i="30"/>
  <c r="I55" i="30"/>
  <c r="I61" i="30"/>
  <c r="I62" i="30" s="1"/>
  <c r="G62" i="30"/>
  <c r="B21" i="24" s="1"/>
  <c r="I71" i="30"/>
  <c r="I73" i="30"/>
  <c r="I75" i="30"/>
  <c r="I77" i="30"/>
  <c r="I79" i="30"/>
  <c r="I81" i="30"/>
  <c r="I83" i="30"/>
  <c r="I85" i="30"/>
  <c r="I87" i="30"/>
  <c r="I89" i="30"/>
  <c r="H31" i="30"/>
  <c r="I31" i="30" s="1"/>
  <c r="H35" i="30"/>
  <c r="I35" i="30" s="1"/>
  <c r="H39" i="30"/>
  <c r="I39" i="30" s="1"/>
  <c r="I110" i="30"/>
  <c r="I112" i="30"/>
  <c r="I115" i="30"/>
  <c r="H118" i="30"/>
  <c r="I118" i="30" s="1"/>
  <c r="I119" i="30"/>
  <c r="H122" i="30"/>
  <c r="I122" i="30" s="1"/>
  <c r="I123" i="30"/>
  <c r="H126" i="30"/>
  <c r="I126" i="30" s="1"/>
  <c r="I127" i="30"/>
  <c r="I131" i="30"/>
  <c r="I135" i="30"/>
  <c r="H168" i="30"/>
  <c r="C25" i="24" s="1"/>
  <c r="I141" i="30"/>
  <c r="I145" i="30"/>
  <c r="I149" i="30"/>
  <c r="H94" i="30"/>
  <c r="I94" i="30" s="1"/>
  <c r="H98" i="30"/>
  <c r="I98" i="30" s="1"/>
  <c r="H102" i="30"/>
  <c r="I102" i="30" s="1"/>
  <c r="H106" i="30"/>
  <c r="I106" i="30" s="1"/>
  <c r="I152" i="30"/>
  <c r="I154" i="30"/>
  <c r="I156" i="30"/>
  <c r="I158" i="30"/>
  <c r="I160" i="30"/>
  <c r="I162" i="30"/>
  <c r="I164" i="30"/>
  <c r="I166" i="30"/>
  <c r="I172" i="30"/>
  <c r="I174" i="30"/>
  <c r="I176" i="30"/>
  <c r="H93" i="30"/>
  <c r="I93" i="30" s="1"/>
  <c r="H97" i="30"/>
  <c r="I97" i="30" s="1"/>
  <c r="H101" i="30"/>
  <c r="I101" i="30" s="1"/>
  <c r="H105" i="30"/>
  <c r="I105" i="30" s="1"/>
  <c r="H109" i="30"/>
  <c r="I109" i="30" s="1"/>
  <c r="H111" i="30"/>
  <c r="I111" i="30" s="1"/>
  <c r="H113" i="30"/>
  <c r="I113" i="30" s="1"/>
  <c r="I133" i="30"/>
  <c r="I137" i="30"/>
  <c r="I143" i="30"/>
  <c r="I147" i="30"/>
  <c r="I114" i="30"/>
  <c r="I134" i="30"/>
  <c r="G168" i="30"/>
  <c r="B25" i="24" s="1"/>
  <c r="I140" i="30"/>
  <c r="I144" i="30"/>
  <c r="I148" i="30"/>
  <c r="I151" i="30"/>
  <c r="I153" i="30"/>
  <c r="I155" i="30"/>
  <c r="I157" i="30"/>
  <c r="I159" i="30"/>
  <c r="I161" i="30"/>
  <c r="I163" i="30"/>
  <c r="I165" i="30"/>
  <c r="I167" i="30"/>
  <c r="I171" i="30"/>
  <c r="I173" i="30"/>
  <c r="I175" i="30"/>
  <c r="I177" i="30"/>
  <c r="B168" i="30"/>
  <c r="B24" i="25" s="1"/>
  <c r="B206" i="30"/>
  <c r="B25" i="25" s="1"/>
  <c r="F206" i="30"/>
  <c r="G178" i="30"/>
  <c r="I178" i="30" s="1"/>
  <c r="G182" i="30"/>
  <c r="I182" i="30" s="1"/>
  <c r="G186" i="30"/>
  <c r="I186" i="30" s="1"/>
  <c r="G190" i="30"/>
  <c r="I190" i="30" s="1"/>
  <c r="G194" i="30"/>
  <c r="I194" i="30" s="1"/>
  <c r="G198" i="30"/>
  <c r="I198" i="30" s="1"/>
  <c r="G202" i="30"/>
  <c r="I202" i="30" s="1"/>
  <c r="I261" i="30"/>
  <c r="I265" i="30"/>
  <c r="G267" i="30"/>
  <c r="B35" i="24" s="1"/>
  <c r="G277" i="30"/>
  <c r="B37" i="24" s="1"/>
  <c r="C168" i="30"/>
  <c r="C24" i="25" s="1"/>
  <c r="I259" i="30"/>
  <c r="C272" i="30"/>
  <c r="C35" i="25" s="1"/>
  <c r="H170" i="30"/>
  <c r="H206" i="30" s="1"/>
  <c r="C26" i="24" s="1"/>
  <c r="G180" i="30"/>
  <c r="I180" i="30" s="1"/>
  <c r="G184" i="30"/>
  <c r="I184" i="30" s="1"/>
  <c r="G188" i="30"/>
  <c r="I188" i="30" s="1"/>
  <c r="G192" i="30"/>
  <c r="I192" i="30" s="1"/>
  <c r="G196" i="30"/>
  <c r="I196" i="30" s="1"/>
  <c r="G200" i="30"/>
  <c r="I200" i="30" s="1"/>
  <c r="G225" i="30"/>
  <c r="B29" i="24" s="1"/>
  <c r="I224" i="30"/>
  <c r="I225" i="30" s="1"/>
  <c r="C252" i="30"/>
  <c r="C31" i="25" s="1"/>
  <c r="I257" i="30"/>
  <c r="C263" i="30"/>
  <c r="C33" i="25" s="1"/>
  <c r="C267" i="30"/>
  <c r="C34" i="25" s="1"/>
  <c r="I276" i="30"/>
  <c r="C282" i="30"/>
  <c r="C37" i="25" s="1"/>
  <c r="I288" i="30"/>
  <c r="I290" i="30"/>
  <c r="I292" i="30"/>
  <c r="I294" i="30"/>
  <c r="I296" i="30"/>
  <c r="I298" i="30"/>
  <c r="I300" i="30"/>
  <c r="I302" i="30"/>
  <c r="I304" i="30"/>
  <c r="I306" i="30"/>
  <c r="I308" i="30"/>
  <c r="I310" i="30"/>
  <c r="C312" i="30"/>
  <c r="H314" i="30"/>
  <c r="I314" i="30" s="1"/>
  <c r="C323" i="30"/>
  <c r="G323" i="30"/>
  <c r="G327" i="30"/>
  <c r="E225" i="30"/>
  <c r="B252" i="30"/>
  <c r="B277" i="30"/>
  <c r="B36" i="25" s="1"/>
  <c r="H317" i="30"/>
  <c r="I317" i="30" s="1"/>
  <c r="H321" i="30"/>
  <c r="I321" i="30" s="1"/>
  <c r="H325" i="30"/>
  <c r="B213" i="30"/>
  <c r="B26" i="25" s="1"/>
  <c r="H254" i="30"/>
  <c r="H255" i="30" s="1"/>
  <c r="C33" i="24" s="1"/>
  <c r="G254" i="30"/>
  <c r="H260" i="30"/>
  <c r="I260" i="30" s="1"/>
  <c r="H262" i="30"/>
  <c r="I262" i="30" s="1"/>
  <c r="H266" i="30"/>
  <c r="I266" i="30" s="1"/>
  <c r="H275" i="30"/>
  <c r="H277" i="30" s="1"/>
  <c r="C37" i="24" s="1"/>
  <c r="C277" i="30"/>
  <c r="C36" i="25" s="1"/>
  <c r="H281" i="30"/>
  <c r="I281" i="30" s="1"/>
  <c r="H289" i="30"/>
  <c r="I289" i="30" s="1"/>
  <c r="H291" i="30"/>
  <c r="I291" i="30" s="1"/>
  <c r="H293" i="30"/>
  <c r="I293" i="30" s="1"/>
  <c r="H295" i="30"/>
  <c r="I295" i="30" s="1"/>
  <c r="H297" i="30"/>
  <c r="I297" i="30" s="1"/>
  <c r="H299" i="30"/>
  <c r="I299" i="30" s="1"/>
  <c r="H301" i="30"/>
  <c r="I301" i="30" s="1"/>
  <c r="H303" i="30"/>
  <c r="I303" i="30" s="1"/>
  <c r="H305" i="30"/>
  <c r="I305" i="30" s="1"/>
  <c r="H307" i="30"/>
  <c r="I307" i="30" s="1"/>
  <c r="H309" i="30"/>
  <c r="I309" i="30" s="1"/>
  <c r="H311" i="30"/>
  <c r="I311" i="30" s="1"/>
  <c r="G312" i="30"/>
  <c r="H315" i="30"/>
  <c r="I315" i="30" s="1"/>
  <c r="H318" i="30"/>
  <c r="I318" i="30" s="1"/>
  <c r="H322" i="30"/>
  <c r="I322" i="30" s="1"/>
  <c r="H326" i="30"/>
  <c r="I326" i="30" s="1"/>
  <c r="B327" i="30"/>
  <c r="B329" i="30" s="1"/>
  <c r="I316" i="30"/>
  <c r="H319" i="30"/>
  <c r="I319" i="30" s="1"/>
  <c r="I320" i="30"/>
  <c r="C327" i="30"/>
  <c r="B63" i="30" l="1"/>
  <c r="B17" i="25"/>
  <c r="E65" i="30"/>
  <c r="B268" i="30"/>
  <c r="B31" i="25"/>
  <c r="H47" i="30"/>
  <c r="C18" i="24" s="1"/>
  <c r="G329" i="30"/>
  <c r="C63" i="30"/>
  <c r="C65" i="30" s="1"/>
  <c r="H267" i="30"/>
  <c r="C35" i="24" s="1"/>
  <c r="C268" i="30"/>
  <c r="B241" i="30"/>
  <c r="H63" i="30"/>
  <c r="I25" i="30"/>
  <c r="I18" i="30"/>
  <c r="D65" i="30"/>
  <c r="D284" i="30" s="1"/>
  <c r="D331" i="30" s="1"/>
  <c r="I27" i="30"/>
  <c r="I40" i="30" s="1"/>
  <c r="G40" i="30"/>
  <c r="H327" i="30"/>
  <c r="I325" i="30"/>
  <c r="I327" i="30" s="1"/>
  <c r="E45" i="25" s="1"/>
  <c r="I323" i="30"/>
  <c r="E44" i="25" s="1"/>
  <c r="H312" i="30"/>
  <c r="I275" i="30"/>
  <c r="I277" i="30" s="1"/>
  <c r="H40" i="30"/>
  <c r="F41" i="30"/>
  <c r="F65" i="30" s="1"/>
  <c r="H138" i="30"/>
  <c r="I47" i="30"/>
  <c r="I312" i="30"/>
  <c r="E43" i="25" s="1"/>
  <c r="I254" i="30"/>
  <c r="I255" i="30" s="1"/>
  <c r="G255" i="30"/>
  <c r="B33" i="24" s="1"/>
  <c r="I170" i="30"/>
  <c r="I206" i="30" s="1"/>
  <c r="I49" i="30"/>
  <c r="I56" i="30" s="1"/>
  <c r="G56" i="30"/>
  <c r="B41" i="30"/>
  <c r="C241" i="30"/>
  <c r="C329" i="30"/>
  <c r="H323" i="30"/>
  <c r="G206" i="30"/>
  <c r="I267" i="30"/>
  <c r="I168" i="30"/>
  <c r="I70" i="30"/>
  <c r="I138" i="30" s="1"/>
  <c r="B65" i="30" l="1"/>
  <c r="C24" i="24"/>
  <c r="G41" i="30"/>
  <c r="B12" i="24"/>
  <c r="B26" i="24"/>
  <c r="G63" i="30"/>
  <c r="B19" i="24"/>
  <c r="H41" i="30"/>
  <c r="H65" i="30" s="1"/>
  <c r="C12" i="24"/>
  <c r="C284" i="30"/>
  <c r="C331" i="30" s="1"/>
  <c r="B284" i="30"/>
  <c r="B331" i="30" s="1"/>
  <c r="I41" i="30"/>
  <c r="I63" i="30"/>
  <c r="I329" i="30"/>
  <c r="H329" i="30"/>
  <c r="G65" i="30" l="1"/>
  <c r="I65" i="30"/>
  <c r="G66" i="26" l="1"/>
  <c r="F66" i="26"/>
  <c r="G13" i="23"/>
  <c r="G10" i="23"/>
  <c r="L209" i="30" s="1"/>
  <c r="F209" i="30" s="1"/>
  <c r="G29" i="23"/>
  <c r="L231" i="30" s="1"/>
  <c r="F231" i="30" s="1"/>
  <c r="G12" i="23"/>
  <c r="L211" i="30" s="1"/>
  <c r="F211" i="30" s="1"/>
  <c r="G31" i="23"/>
  <c r="L233" i="30" s="1"/>
  <c r="F233" i="30" s="1"/>
  <c r="F29" i="23"/>
  <c r="K231" i="30" s="1"/>
  <c r="E231" i="30" s="1"/>
  <c r="F27" i="23"/>
  <c r="K229" i="30" s="1"/>
  <c r="E229" i="30" s="1"/>
  <c r="F31" i="23"/>
  <c r="K233" i="30" s="1"/>
  <c r="E233" i="30" s="1"/>
  <c r="F10" i="23"/>
  <c r="K209" i="30" s="1"/>
  <c r="E209" i="30" s="1"/>
  <c r="F11" i="23"/>
  <c r="K210" i="30" s="1"/>
  <c r="E210" i="30" s="1"/>
  <c r="D12" i="26" l="1"/>
  <c r="H211" i="30"/>
  <c r="H233" i="30"/>
  <c r="D31" i="26"/>
  <c r="D29" i="26"/>
  <c r="H231" i="30"/>
  <c r="D10" i="26"/>
  <c r="H209" i="30"/>
  <c r="C27" i="26"/>
  <c r="G229" i="30"/>
  <c r="C11" i="26"/>
  <c r="G210" i="30"/>
  <c r="C29" i="26"/>
  <c r="G231" i="30"/>
  <c r="I231" i="30" s="1"/>
  <c r="G209" i="30"/>
  <c r="C10" i="26"/>
  <c r="C31" i="26"/>
  <c r="G233" i="30"/>
  <c r="F21" i="23"/>
  <c r="K220" i="30" s="1"/>
  <c r="E220" i="30" s="1"/>
  <c r="F18" i="23"/>
  <c r="K217" i="30" s="1"/>
  <c r="E217" i="30" s="1"/>
  <c r="F20" i="23"/>
  <c r="K219" i="30" s="1"/>
  <c r="E219" i="30" s="1"/>
  <c r="G17" i="23"/>
  <c r="L216" i="30" s="1"/>
  <c r="F216" i="30" s="1"/>
  <c r="F58" i="23"/>
  <c r="K279" i="30" s="1"/>
  <c r="E279" i="30" s="1"/>
  <c r="F9" i="23"/>
  <c r="K208" i="30" s="1"/>
  <c r="E208" i="30" s="1"/>
  <c r="F16" i="23"/>
  <c r="K215" i="30" s="1"/>
  <c r="E215" i="30" s="1"/>
  <c r="F19" i="23"/>
  <c r="K218" i="30" s="1"/>
  <c r="E218" i="30" s="1"/>
  <c r="G21" i="23"/>
  <c r="L220" i="30" s="1"/>
  <c r="F220" i="30" s="1"/>
  <c r="G59" i="23"/>
  <c r="L280" i="30" s="1"/>
  <c r="F280" i="30" s="1"/>
  <c r="F13" i="23"/>
  <c r="F17" i="23"/>
  <c r="K216" i="30" s="1"/>
  <c r="E216" i="30" s="1"/>
  <c r="G19" i="23"/>
  <c r="L218" i="30" s="1"/>
  <c r="F218" i="30" s="1"/>
  <c r="F25" i="23"/>
  <c r="K227" i="30" s="1"/>
  <c r="E227" i="30" s="1"/>
  <c r="F12" i="23"/>
  <c r="K211" i="30" s="1"/>
  <c r="E211" i="30" s="1"/>
  <c r="G25" i="23"/>
  <c r="L227" i="30" s="1"/>
  <c r="F227" i="30" s="1"/>
  <c r="G33" i="23"/>
  <c r="L235" i="30" s="1"/>
  <c r="F235" i="30" s="1"/>
  <c r="G37" i="23"/>
  <c r="L239" i="30" s="1"/>
  <c r="F239" i="30" s="1"/>
  <c r="G45" i="23"/>
  <c r="L250" i="30" s="1"/>
  <c r="F250" i="30" s="1"/>
  <c r="F22" i="23"/>
  <c r="K221" i="30" s="1"/>
  <c r="E221" i="30" s="1"/>
  <c r="F26" i="23"/>
  <c r="K228" i="30" s="1"/>
  <c r="E228" i="30" s="1"/>
  <c r="F28" i="23"/>
  <c r="K230" i="30" s="1"/>
  <c r="E230" i="30" s="1"/>
  <c r="F30" i="23"/>
  <c r="K232" i="30" s="1"/>
  <c r="E232" i="30" s="1"/>
  <c r="F32" i="23"/>
  <c r="K234" i="30" s="1"/>
  <c r="E234" i="30" s="1"/>
  <c r="F34" i="23"/>
  <c r="K236" i="30" s="1"/>
  <c r="E236" i="30" s="1"/>
  <c r="F36" i="23"/>
  <c r="K238" i="30" s="1"/>
  <c r="E238" i="30" s="1"/>
  <c r="F40" i="23"/>
  <c r="K245" i="30" s="1"/>
  <c r="E245" i="30" s="1"/>
  <c r="F44" i="23"/>
  <c r="K249" i="30" s="1"/>
  <c r="E249" i="30" s="1"/>
  <c r="F46" i="23"/>
  <c r="K251" i="30" s="1"/>
  <c r="E251" i="30" s="1"/>
  <c r="F55" i="23"/>
  <c r="F59" i="23"/>
  <c r="K280" i="30" s="1"/>
  <c r="E280" i="30" s="1"/>
  <c r="G27" i="23"/>
  <c r="L229" i="30" s="1"/>
  <c r="F229" i="30" s="1"/>
  <c r="G35" i="23"/>
  <c r="L237" i="30" s="1"/>
  <c r="F237" i="30" s="1"/>
  <c r="G41" i="23"/>
  <c r="L246" i="30" s="1"/>
  <c r="F246" i="30" s="1"/>
  <c r="G49" i="23"/>
  <c r="G58" i="23"/>
  <c r="L279" i="30" s="1"/>
  <c r="F279" i="30" s="1"/>
  <c r="G11" i="23"/>
  <c r="L210" i="30" s="1"/>
  <c r="F210" i="30" s="1"/>
  <c r="G9" i="23"/>
  <c r="L208" i="30" s="1"/>
  <c r="F208" i="30" s="1"/>
  <c r="G16" i="23"/>
  <c r="L215" i="30" s="1"/>
  <c r="F215" i="30" s="1"/>
  <c r="G18" i="23"/>
  <c r="L217" i="30" s="1"/>
  <c r="F217" i="30" s="1"/>
  <c r="G20" i="23"/>
  <c r="L219" i="30" s="1"/>
  <c r="F219" i="30" s="1"/>
  <c r="G22" i="23"/>
  <c r="L221" i="30" s="1"/>
  <c r="F221" i="30" s="1"/>
  <c r="G26" i="23"/>
  <c r="L228" i="30" s="1"/>
  <c r="F228" i="30" s="1"/>
  <c r="G28" i="23"/>
  <c r="L230" i="30" s="1"/>
  <c r="F230" i="30" s="1"/>
  <c r="G30" i="23"/>
  <c r="L232" i="30" s="1"/>
  <c r="F232" i="30" s="1"/>
  <c r="G32" i="23"/>
  <c r="L234" i="30" s="1"/>
  <c r="F234" i="30" s="1"/>
  <c r="G34" i="23"/>
  <c r="L236" i="30" s="1"/>
  <c r="F236" i="30" s="1"/>
  <c r="G36" i="23"/>
  <c r="L238" i="30" s="1"/>
  <c r="F238" i="30" s="1"/>
  <c r="G40" i="23"/>
  <c r="L245" i="30" s="1"/>
  <c r="F245" i="30" s="1"/>
  <c r="G44" i="23"/>
  <c r="L249" i="30" s="1"/>
  <c r="F249" i="30" s="1"/>
  <c r="G46" i="23"/>
  <c r="L251" i="30" s="1"/>
  <c r="F251" i="30" s="1"/>
  <c r="G55" i="23"/>
  <c r="F33" i="23"/>
  <c r="K235" i="30" s="1"/>
  <c r="E235" i="30" s="1"/>
  <c r="F35" i="23"/>
  <c r="K237" i="30" s="1"/>
  <c r="E237" i="30" s="1"/>
  <c r="F37" i="23"/>
  <c r="K239" i="30" s="1"/>
  <c r="E239" i="30" s="1"/>
  <c r="F41" i="23"/>
  <c r="K246" i="30" s="1"/>
  <c r="E246" i="30" s="1"/>
  <c r="F45" i="23"/>
  <c r="K250" i="30" s="1"/>
  <c r="E250" i="30" s="1"/>
  <c r="F49" i="23"/>
  <c r="K271" i="30" l="1"/>
  <c r="E271" i="30" s="1"/>
  <c r="C57" i="26" s="1"/>
  <c r="K258" i="30"/>
  <c r="E258" i="30" s="1"/>
  <c r="L271" i="30"/>
  <c r="F271" i="30" s="1"/>
  <c r="D57" i="26" s="1"/>
  <c r="L258" i="30"/>
  <c r="F258" i="30" s="1"/>
  <c r="I233" i="30"/>
  <c r="D32" i="26"/>
  <c r="H234" i="30"/>
  <c r="D40" i="26"/>
  <c r="F247" i="30"/>
  <c r="H245" i="30"/>
  <c r="D30" i="26"/>
  <c r="H232" i="30"/>
  <c r="D20" i="26"/>
  <c r="H219" i="30"/>
  <c r="D11" i="26"/>
  <c r="H210" i="30"/>
  <c r="I210" i="30" s="1"/>
  <c r="D35" i="26"/>
  <c r="H237" i="30"/>
  <c r="D33" i="26"/>
  <c r="H235" i="30"/>
  <c r="D19" i="26"/>
  <c r="H218" i="30"/>
  <c r="D21" i="26"/>
  <c r="H220" i="30"/>
  <c r="I209" i="30"/>
  <c r="D44" i="26"/>
  <c r="F252" i="30"/>
  <c r="H249" i="30"/>
  <c r="D9" i="26"/>
  <c r="F213" i="30"/>
  <c r="H208" i="30"/>
  <c r="D18" i="26"/>
  <c r="H217" i="30"/>
  <c r="H229" i="30"/>
  <c r="I229" i="30" s="1"/>
  <c r="D27" i="26"/>
  <c r="H227" i="30"/>
  <c r="F240" i="30"/>
  <c r="D25" i="26"/>
  <c r="D17" i="26"/>
  <c r="H216" i="30"/>
  <c r="D22" i="26"/>
  <c r="H221" i="30"/>
  <c r="D41" i="26"/>
  <c r="H246" i="30"/>
  <c r="D37" i="26"/>
  <c r="H239" i="30"/>
  <c r="D67" i="26"/>
  <c r="H280" i="30"/>
  <c r="D36" i="26"/>
  <c r="H238" i="30"/>
  <c r="D28" i="26"/>
  <c r="H230" i="30"/>
  <c r="D66" i="26"/>
  <c r="F282" i="30"/>
  <c r="H279" i="30"/>
  <c r="D46" i="26"/>
  <c r="H251" i="30"/>
  <c r="D34" i="26"/>
  <c r="H236" i="30"/>
  <c r="D26" i="26"/>
  <c r="H228" i="30"/>
  <c r="D16" i="26"/>
  <c r="H215" i="30"/>
  <c r="F222" i="30"/>
  <c r="D45" i="26"/>
  <c r="H250" i="30"/>
  <c r="C35" i="26"/>
  <c r="G237" i="30"/>
  <c r="I237" i="30" s="1"/>
  <c r="C36" i="26"/>
  <c r="G238" i="30"/>
  <c r="C28" i="26"/>
  <c r="G230" i="30"/>
  <c r="C25" i="26"/>
  <c r="G227" i="30"/>
  <c r="E240" i="30"/>
  <c r="C9" i="26"/>
  <c r="G208" i="30"/>
  <c r="E213" i="30"/>
  <c r="C18" i="26"/>
  <c r="G217" i="30"/>
  <c r="I217" i="30" s="1"/>
  <c r="G271" i="30"/>
  <c r="C33" i="26"/>
  <c r="G235" i="30"/>
  <c r="C34" i="26"/>
  <c r="G236" i="30"/>
  <c r="G228" i="30"/>
  <c r="I228" i="30" s="1"/>
  <c r="C26" i="26"/>
  <c r="C66" i="26"/>
  <c r="G279" i="30"/>
  <c r="E282" i="30"/>
  <c r="C21" i="26"/>
  <c r="G220" i="30"/>
  <c r="C45" i="26"/>
  <c r="G250" i="30"/>
  <c r="I250" i="30" s="1"/>
  <c r="C46" i="26"/>
  <c r="G251" i="30"/>
  <c r="C41" i="26"/>
  <c r="G246" i="30"/>
  <c r="C44" i="26"/>
  <c r="G249" i="30"/>
  <c r="E252" i="30"/>
  <c r="C32" i="26"/>
  <c r="G234" i="30"/>
  <c r="G221" i="30"/>
  <c r="C22" i="26"/>
  <c r="C17" i="26"/>
  <c r="G216" i="30"/>
  <c r="C19" i="26"/>
  <c r="G218" i="30"/>
  <c r="I218" i="30" s="1"/>
  <c r="C37" i="26"/>
  <c r="G239" i="30"/>
  <c r="C67" i="26"/>
  <c r="G280" i="30"/>
  <c r="C40" i="26"/>
  <c r="G245" i="30"/>
  <c r="E247" i="30"/>
  <c r="C30" i="26"/>
  <c r="G232" i="30"/>
  <c r="G211" i="30"/>
  <c r="C12" i="26"/>
  <c r="C16" i="26"/>
  <c r="E222" i="30"/>
  <c r="G215" i="30"/>
  <c r="C20" i="26"/>
  <c r="G219" i="30"/>
  <c r="I219" i="30" s="1"/>
  <c r="B4" i="26"/>
  <c r="H63" i="26"/>
  <c r="H271" i="30" l="1"/>
  <c r="H272" i="30" s="1"/>
  <c r="C36" i="24" s="1"/>
  <c r="I251" i="30"/>
  <c r="E272" i="30"/>
  <c r="F272" i="30"/>
  <c r="G258" i="30"/>
  <c r="C50" i="26"/>
  <c r="E263" i="30"/>
  <c r="E268" i="30" s="1"/>
  <c r="H258" i="30"/>
  <c r="H263" i="30" s="1"/>
  <c r="C34" i="24" s="1"/>
  <c r="D50" i="26"/>
  <c r="F263" i="30"/>
  <c r="F268" i="30" s="1"/>
  <c r="I234" i="30"/>
  <c r="H252" i="30"/>
  <c r="C32" i="24" s="1"/>
  <c r="I232" i="30"/>
  <c r="I246" i="30"/>
  <c r="I230" i="30"/>
  <c r="H222" i="30"/>
  <c r="C28" i="24" s="1"/>
  <c r="H282" i="30"/>
  <c r="C38" i="24" s="1"/>
  <c r="I280" i="30"/>
  <c r="I236" i="30"/>
  <c r="I221" i="30"/>
  <c r="I238" i="30"/>
  <c r="F241" i="30"/>
  <c r="H247" i="30"/>
  <c r="H240" i="30"/>
  <c r="C30" i="24" s="1"/>
  <c r="H213" i="30"/>
  <c r="H67" i="26"/>
  <c r="I220" i="30"/>
  <c r="I239" i="30"/>
  <c r="I216" i="30"/>
  <c r="I235" i="30"/>
  <c r="I208" i="30"/>
  <c r="G252" i="30"/>
  <c r="B32" i="24" s="1"/>
  <c r="I249" i="30"/>
  <c r="I252" i="30" s="1"/>
  <c r="E241" i="30"/>
  <c r="G240" i="30"/>
  <c r="B30" i="24" s="1"/>
  <c r="I227" i="30"/>
  <c r="I215" i="30"/>
  <c r="G222" i="30"/>
  <c r="B28" i="24" s="1"/>
  <c r="G213" i="30"/>
  <c r="I211" i="30"/>
  <c r="G247" i="30"/>
  <c r="I245" i="30"/>
  <c r="I279" i="30"/>
  <c r="G282" i="30"/>
  <c r="B38" i="24" s="1"/>
  <c r="G272" i="30"/>
  <c r="B36" i="24" s="1"/>
  <c r="I271" i="30"/>
  <c r="I272" i="30" s="1"/>
  <c r="D46" i="25"/>
  <c r="C46" i="25"/>
  <c r="B46" i="25"/>
  <c r="E38" i="25"/>
  <c r="E40" i="25" s="1"/>
  <c r="E21" i="25"/>
  <c r="E12" i="25"/>
  <c r="I258" i="30" l="1"/>
  <c r="I263" i="30" s="1"/>
  <c r="G263" i="30"/>
  <c r="B34" i="24" s="1"/>
  <c r="I247" i="30"/>
  <c r="I268" i="30" s="1"/>
  <c r="I282" i="30"/>
  <c r="I213" i="30"/>
  <c r="I240" i="30"/>
  <c r="F284" i="30"/>
  <c r="F331" i="30" s="1"/>
  <c r="C27" i="24"/>
  <c r="H241" i="30"/>
  <c r="E284" i="30"/>
  <c r="E331" i="30" s="1"/>
  <c r="I222" i="30"/>
  <c r="C31" i="24"/>
  <c r="H268" i="30"/>
  <c r="B27" i="24"/>
  <c r="G241" i="30"/>
  <c r="B31" i="24"/>
  <c r="H51" i="26"/>
  <c r="H54" i="26"/>
  <c r="H50" i="26"/>
  <c r="H52" i="26"/>
  <c r="H53" i="26"/>
  <c r="D55" i="26"/>
  <c r="G268" i="30" l="1"/>
  <c r="G284" i="30" s="1"/>
  <c r="G331" i="30" s="1"/>
  <c r="G50" i="26"/>
  <c r="F50" i="26"/>
  <c r="I241" i="30"/>
  <c r="I284" i="30" s="1"/>
  <c r="I331" i="30" s="1"/>
  <c r="H284" i="30"/>
  <c r="H331" i="30" s="1"/>
  <c r="F34" i="25"/>
  <c r="F24" i="25"/>
  <c r="D21" i="25"/>
  <c r="F11" i="25"/>
  <c r="D12" i="25"/>
  <c r="F33" i="25"/>
  <c r="F29" i="25"/>
  <c r="F35" i="25"/>
  <c r="F9" i="25"/>
  <c r="H41" i="26"/>
  <c r="H35" i="26"/>
  <c r="F35" i="26" s="1"/>
  <c r="H34" i="26"/>
  <c r="F34" i="26" s="1"/>
  <c r="H28" i="26"/>
  <c r="F28" i="26" s="1"/>
  <c r="H32" i="26"/>
  <c r="H46" i="26"/>
  <c r="H22" i="26"/>
  <c r="F36" i="25"/>
  <c r="H36" i="26"/>
  <c r="F18" i="25"/>
  <c r="F27" i="25"/>
  <c r="F10" i="25"/>
  <c r="F31" i="25"/>
  <c r="H20" i="26"/>
  <c r="F26" i="25"/>
  <c r="F32" i="25"/>
  <c r="F28" i="25"/>
  <c r="F25" i="25"/>
  <c r="H12" i="26"/>
  <c r="F37" i="25"/>
  <c r="H49" i="26"/>
  <c r="H55" i="26" s="1"/>
  <c r="C55" i="26"/>
  <c r="D29" i="24"/>
  <c r="C12" i="25"/>
  <c r="H33" i="26"/>
  <c r="G33" i="26" s="1"/>
  <c r="F19" i="25"/>
  <c r="D47" i="26"/>
  <c r="H21" i="26"/>
  <c r="H26" i="26"/>
  <c r="F26" i="26" s="1"/>
  <c r="D21" i="24"/>
  <c r="H31" i="26"/>
  <c r="G31" i="26" s="1"/>
  <c r="D20" i="24"/>
  <c r="H17" i="26"/>
  <c r="F17" i="26" s="1"/>
  <c r="H30" i="26"/>
  <c r="G30" i="26" s="1"/>
  <c r="H11" i="26"/>
  <c r="G11" i="26" s="1"/>
  <c r="H18" i="26"/>
  <c r="C21" i="25"/>
  <c r="H19" i="26"/>
  <c r="F20" i="25"/>
  <c r="H37" i="26"/>
  <c r="F37" i="26" s="1"/>
  <c r="H27" i="26"/>
  <c r="G27" i="26" s="1"/>
  <c r="D33" i="24"/>
  <c r="H29" i="26"/>
  <c r="G29" i="26" s="1"/>
  <c r="H10" i="26"/>
  <c r="G10" i="26" s="1"/>
  <c r="D37" i="24"/>
  <c r="H13" i="26"/>
  <c r="D10" i="24"/>
  <c r="H45" i="26"/>
  <c r="F20" i="26" l="1"/>
  <c r="G20" i="26"/>
  <c r="F18" i="26"/>
  <c r="G18" i="26"/>
  <c r="G12" i="26"/>
  <c r="F12" i="26"/>
  <c r="D35" i="24"/>
  <c r="D12" i="24"/>
  <c r="D34" i="24"/>
  <c r="D38" i="25"/>
  <c r="D40" i="25" s="1"/>
  <c r="D48" i="25" s="1"/>
  <c r="C22" i="24"/>
  <c r="G17" i="26"/>
  <c r="D38" i="24"/>
  <c r="C38" i="25"/>
  <c r="C40" i="25" s="1"/>
  <c r="C48" i="25" s="1"/>
  <c r="F30" i="25"/>
  <c r="F44" i="25"/>
  <c r="D19" i="24"/>
  <c r="G35" i="26"/>
  <c r="G34" i="26"/>
  <c r="G28" i="26"/>
  <c r="F29" i="26"/>
  <c r="F33" i="26"/>
  <c r="F10" i="26"/>
  <c r="D26" i="24"/>
  <c r="F30" i="26"/>
  <c r="F23" i="25"/>
  <c r="F11" i="26"/>
  <c r="D25" i="24"/>
  <c r="C13" i="24"/>
  <c r="D11" i="24"/>
  <c r="F8" i="25"/>
  <c r="F12" i="25" s="1"/>
  <c r="B12" i="25"/>
  <c r="D42" i="26"/>
  <c r="C68" i="26"/>
  <c r="H66" i="26"/>
  <c r="H68" i="26" s="1"/>
  <c r="C14" i="26"/>
  <c r="H9" i="26"/>
  <c r="H14" i="26" s="1"/>
  <c r="D68" i="26"/>
  <c r="D58" i="26"/>
  <c r="F27" i="26"/>
  <c r="C58" i="26"/>
  <c r="H57" i="26"/>
  <c r="H58" i="26" s="1"/>
  <c r="G37" i="26"/>
  <c r="D24" i="24"/>
  <c r="C23" i="26"/>
  <c r="H16" i="26"/>
  <c r="G16" i="26" s="1"/>
  <c r="C38" i="26"/>
  <c r="H25" i="26"/>
  <c r="H38" i="26" s="1"/>
  <c r="D23" i="26"/>
  <c r="D36" i="24"/>
  <c r="H40" i="26"/>
  <c r="H42" i="26" s="1"/>
  <c r="C42" i="26"/>
  <c r="D38" i="26"/>
  <c r="B21" i="25"/>
  <c r="B38" i="25" s="1"/>
  <c r="F17" i="25"/>
  <c r="F21" i="25" s="1"/>
  <c r="C47" i="26"/>
  <c r="H44" i="26"/>
  <c r="H47" i="26" s="1"/>
  <c r="G26" i="26"/>
  <c r="F31" i="26"/>
  <c r="D14" i="26"/>
  <c r="E46" i="25" l="1"/>
  <c r="E48" i="25" s="1"/>
  <c r="D32" i="24"/>
  <c r="D28" i="24"/>
  <c r="D27" i="24"/>
  <c r="F44" i="26"/>
  <c r="D30" i="24"/>
  <c r="C39" i="24"/>
  <c r="C41" i="24" s="1"/>
  <c r="G57" i="26"/>
  <c r="F38" i="25"/>
  <c r="F40" i="25" s="1"/>
  <c r="B40" i="25"/>
  <c r="B48" i="25" s="1"/>
  <c r="G25" i="26"/>
  <c r="G44" i="26"/>
  <c r="F9" i="26"/>
  <c r="B13" i="24"/>
  <c r="D9" i="24"/>
  <c r="D13" i="24" s="1"/>
  <c r="G40" i="26"/>
  <c r="F43" i="25"/>
  <c r="F46" i="25" s="1"/>
  <c r="D18" i="24"/>
  <c r="D22" i="24" s="1"/>
  <c r="B22" i="24"/>
  <c r="D70" i="26"/>
  <c r="G9" i="26"/>
  <c r="F40" i="26"/>
  <c r="F25" i="26"/>
  <c r="F16" i="26"/>
  <c r="H23" i="26"/>
  <c r="H70" i="26" s="1"/>
  <c r="F57" i="26"/>
  <c r="D31" i="24"/>
  <c r="C70" i="26"/>
  <c r="B39" i="24" l="1"/>
  <c r="B41" i="24" s="1"/>
  <c r="D39" i="24"/>
  <c r="D41" i="24" s="1"/>
  <c r="F48" i="25"/>
  <c r="A3" i="25" l="1"/>
  <c r="A3" i="30"/>
  <c r="B3" i="23"/>
</calcChain>
</file>

<file path=xl/sharedStrings.xml><?xml version="1.0" encoding="utf-8"?>
<sst xmlns="http://schemas.openxmlformats.org/spreadsheetml/2006/main" count="1385" uniqueCount="951">
  <si>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</si>
  <si>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</si>
  <si>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</si>
  <si>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</si>
  <si>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</si>
  <si>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</si>
  <si>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</si>
  <si>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32 - TOTAL OPERATING REV. DEDUCT.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</si>
  <si>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</si>
  <si>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</si>
  <si>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</si>
  <si>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</si>
  <si>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</si>
  <si>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</si>
  <si>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</si>
  <si>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</si>
  <si>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</si>
  <si>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</si>
  <si>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</si>
  <si>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</si>
  <si>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</si>
  <si>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</si>
  <si>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</si>
  <si>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</si>
  <si>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</si>
  <si>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</si>
  <si>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</si>
  <si>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</si>
  <si>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</si>
  <si>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</si>
  <si>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</si>
  <si>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</si>
  <si>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</si>
  <si>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</si>
  <si>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</si>
  <si>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</si>
  <si>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</si>
  <si>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</si>
  <si>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</si>
  <si>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</si>
  <si>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</si>
  <si>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</si>
  <si>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</si>
  <si>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</si>
  <si>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</si>
  <si>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</si>
  <si>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</si>
  <si>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</si>
  <si>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</si>
  <si>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</si>
  <si>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</si>
  <si>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</si>
  <si>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</si>
  <si>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</si>
  <si>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</si>
  <si>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</si>
  <si>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</si>
  <si>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</si>
  <si>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</si>
  <si>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</si>
  <si>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</si>
  <si>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</si>
  <si>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</si>
  <si>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</si>
  <si>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</si>
  <si>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</si>
  <si>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</si>
  <si>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</si>
  <si>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</si>
  <si>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</si>
  <si>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</si>
  <si>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</si>
  <si>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</si>
  <si>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</si>
  <si>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</si>
  <si>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</si>
  <si>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</si>
  <si>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</si>
  <si>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</si>
  <si>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</si>
  <si>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</si>
  <si>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</si>
  <si>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</si>
  <si>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</si>
  <si>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</si>
  <si>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</si>
  <si>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</si>
  <si>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</si>
  <si>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</si>
  <si>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</si>
  <si>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</si>
  <si>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</si>
  <si>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</si>
  <si>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</si>
  <si>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</si>
  <si>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</si>
  <si>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</si>
  <si>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</si>
  <si>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</si>
  <si>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</si>
  <si>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</si>
  <si>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</si>
  <si>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</si>
  <si>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</si>
  <si>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</si>
  <si>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</si>
  <si>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</si>
  <si>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</si>
  <si>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</si>
  <si>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</si>
  <si>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</si>
  <si>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</si>
  <si>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</si>
  <si>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</si>
  <si>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</si>
  <si>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</si>
  <si>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</si>
  <si>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</si>
  <si>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</si>
  <si>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</si>
  <si>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</si>
  <si>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</si>
  <si>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</si>
  <si>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</si>
  <si>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</si>
  <si>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</si>
  <si>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</si>
  <si>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</si>
  <si>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</si>
  <si>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</si>
  <si>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</si>
  <si>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</si>
  <si>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</si>
  <si>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</si>
  <si>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</si>
  <si>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</si>
  <si>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</si>
  <si>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</si>
  <si>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</si>
  <si>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</si>
  <si>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</si>
  <si>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</si>
  <si>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</si>
  <si>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</si>
  <si>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</si>
  <si>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</si>
  <si>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</si>
  <si>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</si>
  <si>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</si>
  <si>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</si>
  <si>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</si>
  <si>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</si>
  <si>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</si>
  <si>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</si>
  <si>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</si>
  <si>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</si>
  <si>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</si>
  <si>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</si>
  <si>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</si>
  <si>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</si>
  <si>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</si>
  <si>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</si>
  <si>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</si>
  <si>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</si>
  <si>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</si>
  <si>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</si>
  <si>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</si>
  <si>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</si>
  <si>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</si>
  <si>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</si>
  <si>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</si>
  <si>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</si>
  <si>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</si>
  <si>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</si>
  <si>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</si>
  <si>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</si>
  <si>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</si>
  <si>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</si>
  <si>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</si>
  <si>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</si>
  <si>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</si>
  <si>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</si>
  <si>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</si>
  <si>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</si>
  <si>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</si>
  <si>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</si>
  <si>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</si>
  <si>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</si>
  <si>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</si>
  <si>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</si>
  <si>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</si>
  <si>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</si>
  <si>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</si>
  <si>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</si>
  <si>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</si>
  <si>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</si>
  <si>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</si>
  <si>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</si>
  <si>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</si>
  <si>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</si>
  <si>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</si>
  <si>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</si>
  <si>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</si>
  <si>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</si>
  <si>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</si>
  <si>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</si>
  <si>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</si>
  <si>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</si>
  <si>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</si>
  <si>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</si>
  <si>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</si>
  <si>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</si>
  <si>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</si>
  <si>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</si>
  <si>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</si>
  <si>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</si>
  <si>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</si>
  <si>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</si>
  <si>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</si>
  <si>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</si>
  <si>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</si>
  <si>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</si>
  <si>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</si>
  <si>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</si>
  <si>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</si>
  <si>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</si>
  <si>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</si>
  <si>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</si>
  <si>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</si>
  <si>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</si>
  <si>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</si>
  <si>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</si>
  <si>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</si>
  <si>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</si>
  <si>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</si>
  <si>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</si>
  <si>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</si>
  <si>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</si>
  <si>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</si>
  <si>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</si>
  <si>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</si>
  <si>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</si>
  <si>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</si>
  <si>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</si>
  <si>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</si>
  <si>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</si>
  <si>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</si>
  <si>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</si>
  <si>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</si>
  <si>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</si>
  <si>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</si>
  <si>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</si>
  <si>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</si>
  <si>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</si>
  <si>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</si>
  <si>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</si>
  <si>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</si>
  <si>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</si>
  <si>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</si>
  <si>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</si>
  <si>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</si>
  <si>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</si>
  <si>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</si>
  <si>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</si>
  <si>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</si>
  <si>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</si>
  <si>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</si>
  <si>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</si>
  <si>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</si>
  <si>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</si>
  <si>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</si>
  <si>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</si>
  <si>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</si>
  <si>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</si>
  <si>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</si>
  <si>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</si>
  <si>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</si>
  <si>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</si>
  <si>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</si>
  <si>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</si>
  <si>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</si>
  <si>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</si>
  <si>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</si>
  <si>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</si>
  <si>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</si>
  <si>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</si>
  <si>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</si>
  <si>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</si>
  <si>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</si>
  <si>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</si>
  <si>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</si>
  <si>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</si>
  <si>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</si>
  <si>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</si>
  <si>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</si>
  <si>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</si>
  <si>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</si>
  <si>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</si>
  <si>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</si>
  <si>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</si>
  <si>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</si>
  <si>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</si>
  <si>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</si>
  <si>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</si>
  <si>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</si>
  <si>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</si>
  <si>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</si>
  <si>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</si>
  <si>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</si>
  <si>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</si>
  <si>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</si>
  <si>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</si>
  <si>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</si>
  <si>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</si>
  <si>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</si>
  <si>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</si>
  <si>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</si>
  <si>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</si>
  <si>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</si>
  <si>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</si>
  <si>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</si>
  <si>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</si>
  <si>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</si>
  <si>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</si>
  <si>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</si>
  <si>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</si>
  <si>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</si>
  <si>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</si>
  <si>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</si>
  <si>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</si>
  <si>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</si>
  <si>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</si>
  <si>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</si>
  <si>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</si>
  <si>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</si>
  <si>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</si>
  <si>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</si>
  <si>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</si>
  <si>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</si>
  <si>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(29) 4081 - Taxes Other-Util Income</t>
  </si>
  <si>
    <t>28 - ASC 815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</si>
  <si>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</si>
  <si>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</si>
  <si>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</si>
  <si>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</si>
  <si>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</si>
  <si>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</si>
  <si>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</si>
  <si>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</si>
  <si>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</si>
  <si>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</si>
  <si>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</si>
  <si>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</si>
  <si>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</si>
  <si>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</si>
  <si>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</si>
  <si>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</si>
  <si>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</si>
  <si>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</si>
  <si>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</si>
  <si>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</si>
  <si>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</si>
  <si>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</si>
  <si>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 xml:space="preserve">Allocation Method   </t>
  </si>
  <si>
    <t>Blended Electric Rate</t>
  </si>
  <si>
    <t>Blended Gas Rate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</si>
  <si>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</si>
  <si>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</si>
  <si>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</si>
  <si>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</si>
  <si>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</si>
  <si>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</si>
  <si>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</si>
  <si>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</si>
  <si>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</si>
  <si>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</si>
  <si>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</si>
  <si>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</si>
  <si>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</si>
  <si>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</si>
  <si>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</si>
  <si>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</si>
  <si>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</si>
  <si>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</si>
  <si>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</si>
  <si>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</si>
  <si>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</si>
  <si>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</si>
  <si>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</si>
  <si>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</si>
  <si>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</si>
  <si>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</si>
  <si>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</si>
  <si>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</si>
  <si>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</si>
  <si>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</si>
  <si>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</si>
  <si>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</si>
  <si>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27- OTHER OPERATING EXPENSES</t>
  </si>
  <si>
    <t>29 -TAXES OTHER THAN INCOME TAXES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</si>
  <si>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</si>
  <si>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</si>
  <si>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</si>
  <si>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</si>
  <si>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</si>
  <si>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</si>
  <si>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</si>
  <si>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</si>
  <si>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</si>
  <si>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</si>
  <si>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</si>
  <si>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</si>
  <si>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(5) 449.1 - Provision for rate refunds E</t>
  </si>
  <si>
    <t xml:space="preserve">          (5) 456 - Other Electric Revenues</t>
  </si>
  <si>
    <t xml:space="preserve">          (5) 456.1 - Other Electric Revenues - Transmission</t>
  </si>
  <si>
    <t>Reg Account</t>
  </si>
  <si>
    <t>Elec Direct</t>
  </si>
  <si>
    <t>Gas Direct</t>
  </si>
  <si>
    <t>Un Assigned Common ELEC</t>
  </si>
  <si>
    <t>Un Assigned Common GAS</t>
  </si>
  <si>
    <t>Elec
 Allocated</t>
  </si>
  <si>
    <t>ZW_WUTC_INCSTMT</t>
  </si>
  <si>
    <t>WUTC Income Statemen</t>
  </si>
  <si>
    <t>ZW_OPERATING_INCOME</t>
  </si>
  <si>
    <t>WUTC Operating Incom</t>
  </si>
  <si>
    <t>ZW_OPERATING_REVENUES</t>
  </si>
  <si>
    <t>WUTC Operating Reven</t>
  </si>
  <si>
    <t>ZW_SALES_CUSTOMERS</t>
  </si>
  <si>
    <t>WUTC Sales to Custom</t>
  </si>
  <si>
    <t>9440000</t>
  </si>
  <si>
    <t>El Residential Sales</t>
  </si>
  <si>
    <t>9442000</t>
  </si>
  <si>
    <t>El Comm &amp; Ind Sales</t>
  </si>
  <si>
    <t>9444000</t>
  </si>
  <si>
    <t>Publ St &amp; Hghwy Ltng</t>
  </si>
  <si>
    <t>9480000</t>
  </si>
  <si>
    <t>Gs Residential Sales</t>
  </si>
  <si>
    <t>9481000</t>
  </si>
  <si>
    <t>Gs Comm &amp; Ind Sales</t>
  </si>
  <si>
    <t>9489300</t>
  </si>
  <si>
    <t>Rev fr Transp Oth</t>
  </si>
  <si>
    <t>ZW_SALES_RESALE</t>
  </si>
  <si>
    <t>WUTC Sales for Resal</t>
  </si>
  <si>
    <t>9447030</t>
  </si>
  <si>
    <t>Elec Resale-Firm</t>
  </si>
  <si>
    <t>ZW_SALES_OTHER_UTIL</t>
  </si>
  <si>
    <t>WUTC Sales to Other</t>
  </si>
  <si>
    <t>9447010</t>
  </si>
  <si>
    <t>Elec Resale-Sales</t>
  </si>
  <si>
    <t>9447020</t>
  </si>
  <si>
    <t>Elec Resale-Purch</t>
  </si>
  <si>
    <t>ZW_OTHER_OPER_REV</t>
  </si>
  <si>
    <t>WUTC Other Operating</t>
  </si>
  <si>
    <t>9450000</t>
  </si>
  <si>
    <t>Elec Forfeited Disc</t>
  </si>
  <si>
    <t>9451000</t>
  </si>
  <si>
    <t>Misc Elec Serv Rev</t>
  </si>
  <si>
    <t>9454000</t>
  </si>
  <si>
    <t>Rent from Elec Prop</t>
  </si>
  <si>
    <t>9456100</t>
  </si>
  <si>
    <t>Rev frm Transm Other</t>
  </si>
  <si>
    <t>9456020</t>
  </si>
  <si>
    <t>Oth Electr Revenues</t>
  </si>
  <si>
    <t>9487000</t>
  </si>
  <si>
    <t>Gas Forfeited Disc</t>
  </si>
  <si>
    <t>9488000</t>
  </si>
  <si>
    <t>Misc Gas Serv Rev</t>
  </si>
  <si>
    <t>9489400</t>
  </si>
  <si>
    <t>Rev frm Storing Gas</t>
  </si>
  <si>
    <t>9493000</t>
  </si>
  <si>
    <t>Rent frm Gas Prop</t>
  </si>
  <si>
    <t>9495000</t>
  </si>
  <si>
    <t>Other Gas Revenues</t>
  </si>
  <si>
    <t>ZW_OPERATING_REV_DEDUCT</t>
  </si>
  <si>
    <t>ZW_PRODUCTION_EXP</t>
  </si>
  <si>
    <t>WUTC Production Expe</t>
  </si>
  <si>
    <t>ZW_FUEL</t>
  </si>
  <si>
    <t>WUTC Fuel</t>
  </si>
  <si>
    <t>9501000</t>
  </si>
  <si>
    <t>Stm Op Fuel</t>
  </si>
  <si>
    <t>9547000</t>
  </si>
  <si>
    <t>Oth Pwr Op Fuel</t>
  </si>
  <si>
    <t>ZW_PURCHASED_INTERCHANGE</t>
  </si>
  <si>
    <t>WUTC Purchased and I</t>
  </si>
  <si>
    <t>9555010</t>
  </si>
  <si>
    <t>Purch Pwr-Pur &amp; Int</t>
  </si>
  <si>
    <t>9557000</t>
  </si>
  <si>
    <t>Other Expenses</t>
  </si>
  <si>
    <t>9804000</t>
  </si>
  <si>
    <t>Nat Gas City G Purch</t>
  </si>
  <si>
    <t>9805000</t>
  </si>
  <si>
    <t>Other Gas Purchases</t>
  </si>
  <si>
    <t>9805100</t>
  </si>
  <si>
    <t>Purch Gas Cost Adj</t>
  </si>
  <si>
    <t>9808100</t>
  </si>
  <si>
    <t>Gas Withd fr Storage</t>
  </si>
  <si>
    <t>9808200</t>
  </si>
  <si>
    <t>Gas Deliv to Storage</t>
  </si>
  <si>
    <t>ZW_WHEELING</t>
  </si>
  <si>
    <t>WUTC Wheeling</t>
  </si>
  <si>
    <t>9565000</t>
  </si>
  <si>
    <t>Trm Op Electr by Oth</t>
  </si>
  <si>
    <t>ZW_RESIDENTIAL_EXCHANGE</t>
  </si>
  <si>
    <t>WUTC Residential Exc</t>
  </si>
  <si>
    <t>9555020</t>
  </si>
  <si>
    <t>Purch Pwr-Res Exch</t>
  </si>
  <si>
    <t>ZW_OPERATING_EXPENSES</t>
  </si>
  <si>
    <t>WUTC Operating Expen</t>
  </si>
  <si>
    <t>ZW_OTH_ENERGY_SUPPLY_EXP</t>
  </si>
  <si>
    <t>WUTC Other Energy Su</t>
  </si>
  <si>
    <t>9500000</t>
  </si>
  <si>
    <t>Stm Op Supv &amp; Eng</t>
  </si>
  <si>
    <t>9502000</t>
  </si>
  <si>
    <t>Stm Op Steam Exp</t>
  </si>
  <si>
    <t>9505000</t>
  </si>
  <si>
    <t>Stm Op Electric Exp</t>
  </si>
  <si>
    <t>9506000</t>
  </si>
  <si>
    <t>Stm Op Misc Pwr Exp</t>
  </si>
  <si>
    <t>9507000</t>
  </si>
  <si>
    <t>Stm Op Rents</t>
  </si>
  <si>
    <t>9510000</t>
  </si>
  <si>
    <t>Stm Mn Supv &amp; Eng</t>
  </si>
  <si>
    <t>9511000</t>
  </si>
  <si>
    <t>Stm Mn Structures</t>
  </si>
  <si>
    <t>9512000</t>
  </si>
  <si>
    <t>Stm Mn Boiler Plant</t>
  </si>
  <si>
    <t>9513000</t>
  </si>
  <si>
    <t>Stm Mn Electr Plant</t>
  </si>
  <si>
    <t>9514000</t>
  </si>
  <si>
    <t>Stm Mn Misc Plt Exp</t>
  </si>
  <si>
    <t>9535000</t>
  </si>
  <si>
    <t>Hyd Op Supv &amp; Eng</t>
  </si>
  <si>
    <t>9537000</t>
  </si>
  <si>
    <t>Hyd Op Hydraulic Exp</t>
  </si>
  <si>
    <t>9538000</t>
  </si>
  <si>
    <t>Hyd Op Electric Exp</t>
  </si>
  <si>
    <t>9539000</t>
  </si>
  <si>
    <t>Hyd Op Misc Pwr Exp</t>
  </si>
  <si>
    <t>9541000</t>
  </si>
  <si>
    <t>Hyd Mn Supv &amp; Eng</t>
  </si>
  <si>
    <t>9542000</t>
  </si>
  <si>
    <t>Hyd Mn Structures</t>
  </si>
  <si>
    <t>9543000</t>
  </si>
  <si>
    <t>Hyd Mn Resv Dams</t>
  </si>
  <si>
    <t>9544000</t>
  </si>
  <si>
    <t>Hyd Mn Electr Plant</t>
  </si>
  <si>
    <t>9545000</t>
  </si>
  <si>
    <t>Hyd Mn Misc Plt Exp</t>
  </si>
  <si>
    <t>9546000</t>
  </si>
  <si>
    <t>Oth Pwr Op Sup &amp; Eng</t>
  </si>
  <si>
    <t>9548000</t>
  </si>
  <si>
    <t>Oth Pwr Op Gen Exp</t>
  </si>
  <si>
    <t>9549000</t>
  </si>
  <si>
    <t>Oth Pwr Op Misc Exp</t>
  </si>
  <si>
    <t>9550000</t>
  </si>
  <si>
    <t>Oth Pwr Op Rents</t>
  </si>
  <si>
    <t>9551000</t>
  </si>
  <si>
    <t>Oth Pwr Mn Sup &amp; Eng</t>
  </si>
  <si>
    <t>9552000</t>
  </si>
  <si>
    <t>Oth Pwr Mn Structure</t>
  </si>
  <si>
    <t>9553000</t>
  </si>
  <si>
    <t>Oth Pwr Mn Equipment</t>
  </si>
  <si>
    <t>9554000</t>
  </si>
  <si>
    <t>Oth Pwr Mn Misc Exp</t>
  </si>
  <si>
    <t>9556000</t>
  </si>
  <si>
    <t>Syst Cntrl &amp; Ld Disp</t>
  </si>
  <si>
    <t>9717000</t>
  </si>
  <si>
    <t>Mfd Op Liq Petro Exp</t>
  </si>
  <si>
    <t>9807500</t>
  </si>
  <si>
    <t>Oth Purch Gas Exp</t>
  </si>
  <si>
    <t>9812000</t>
  </si>
  <si>
    <t>Gas Used fr Oth Util</t>
  </si>
  <si>
    <t>9813000</t>
  </si>
  <si>
    <t>Oth Gas Supply Exp</t>
  </si>
  <si>
    <t>9814000</t>
  </si>
  <si>
    <t>UGS Op Supv &amp; Eng</t>
  </si>
  <si>
    <t>9816000</t>
  </si>
  <si>
    <t>UGS Op Wells Expense</t>
  </si>
  <si>
    <t>9817000</t>
  </si>
  <si>
    <t>UGS Op Lines Expesne</t>
  </si>
  <si>
    <t>9818000</t>
  </si>
  <si>
    <t>UGS Op Compr Stn Exp</t>
  </si>
  <si>
    <t>9819000</t>
  </si>
  <si>
    <t>UGS Op Compr Stn F&amp;P</t>
  </si>
  <si>
    <t>9820000</t>
  </si>
  <si>
    <t>UGS Op Mea &amp; Reg Exp</t>
  </si>
  <si>
    <t>9824000</t>
  </si>
  <si>
    <t>UGS Op Other Expense</t>
  </si>
  <si>
    <t>9825000</t>
  </si>
  <si>
    <t>9830000</t>
  </si>
  <si>
    <t>UGS Mn Supv &amp; Eng</t>
  </si>
  <si>
    <t>9831000</t>
  </si>
  <si>
    <t>UGS Mn Stuctures</t>
  </si>
  <si>
    <t>9832000</t>
  </si>
  <si>
    <t>UGS Mn Reserv &amp; Well</t>
  </si>
  <si>
    <t>9833000</t>
  </si>
  <si>
    <t>9834000</t>
  </si>
  <si>
    <t>UGS Mn Compr Stn Eq</t>
  </si>
  <si>
    <t>9836000</t>
  </si>
  <si>
    <t>UGS Mn Purificat Equ</t>
  </si>
  <si>
    <t>9837000</t>
  </si>
  <si>
    <t>UGS Mn Oth Equipment</t>
  </si>
  <si>
    <t>9841000</t>
  </si>
  <si>
    <t>OS Op Labor &amp; Exp</t>
  </si>
  <si>
    <t>9844100</t>
  </si>
  <si>
    <t>LNG Op Supv &amp; Eng</t>
  </si>
  <si>
    <t>ZW_TRANSMISSION_EXP</t>
  </si>
  <si>
    <t>WUTC Transmission Ex</t>
  </si>
  <si>
    <t>9560000</t>
  </si>
  <si>
    <t>Transm Op Supv &amp; Eng</t>
  </si>
  <si>
    <t>9561100</t>
  </si>
  <si>
    <t>Load Disp-Reliabilit</t>
  </si>
  <si>
    <t>9561200</t>
  </si>
  <si>
    <t>Load Disp-Monit &amp; Op</t>
  </si>
  <si>
    <t>9561300</t>
  </si>
  <si>
    <t>Load Disp-Transm Svc</t>
  </si>
  <si>
    <t>9561500</t>
  </si>
  <si>
    <t>Reliab Plng &amp; Stndrd</t>
  </si>
  <si>
    <t>9561700</t>
  </si>
  <si>
    <t>Gen Interconn Study</t>
  </si>
  <si>
    <t>9561800</t>
  </si>
  <si>
    <t>Reliab Plng &amp; SD Svc</t>
  </si>
  <si>
    <t>9562000</t>
  </si>
  <si>
    <t>Trm Op Station Exp</t>
  </si>
  <si>
    <t>9563000</t>
  </si>
  <si>
    <t>Trm Op Ovhd Line Exp</t>
  </si>
  <si>
    <t>9566000</t>
  </si>
  <si>
    <t>Trm Op Misc Expenses</t>
  </si>
  <si>
    <t>9567000</t>
  </si>
  <si>
    <t>Trm Op Rents</t>
  </si>
  <si>
    <t>9568000</t>
  </si>
  <si>
    <t>Trm Mn Supv &amp; Eng</t>
  </si>
  <si>
    <t>9569000</t>
  </si>
  <si>
    <t>9569200</t>
  </si>
  <si>
    <t>Trm Mn Comp Software</t>
  </si>
  <si>
    <t>9570000</t>
  </si>
  <si>
    <t>Trm Mn Station Equip</t>
  </si>
  <si>
    <t>9571000</t>
  </si>
  <si>
    <t>Trm Mn Ovhd Lines</t>
  </si>
  <si>
    <t>9573000</t>
  </si>
  <si>
    <t>Trm Mn Misc Transm</t>
  </si>
  <si>
    <t>9862000</t>
  </si>
  <si>
    <t>ZW_DISTRIBUTION_EXP</t>
  </si>
  <si>
    <t>WUTC Distribution Ex</t>
  </si>
  <si>
    <t>9580000</t>
  </si>
  <si>
    <t>Dis Op Supv &amp; Eng</t>
  </si>
  <si>
    <t>9581000</t>
  </si>
  <si>
    <t>Dis Op Load Dispatch</t>
  </si>
  <si>
    <t>9582000</t>
  </si>
  <si>
    <t>Dis Op Station Exp</t>
  </si>
  <si>
    <t>9583000</t>
  </si>
  <si>
    <t>Dis Op Ovhd Line Exp</t>
  </si>
  <si>
    <t>9584000</t>
  </si>
  <si>
    <t>Dis Op Undg Line Exp</t>
  </si>
  <si>
    <t>9585000</t>
  </si>
  <si>
    <t>Dis Op St Ltng &amp; Sig</t>
  </si>
  <si>
    <t>9586000</t>
  </si>
  <si>
    <t>Dis Op Meter Exp</t>
  </si>
  <si>
    <t>9587000</t>
  </si>
  <si>
    <t>Dis Op Cust Install</t>
  </si>
  <si>
    <t>9588000</t>
  </si>
  <si>
    <t>Dis Op Misc Expenses</t>
  </si>
  <si>
    <t>9589000</t>
  </si>
  <si>
    <t>Dis Op Rents</t>
  </si>
  <si>
    <t>9590000</t>
  </si>
  <si>
    <t>Dis Mn Supv &amp; Eng</t>
  </si>
  <si>
    <t>9592000</t>
  </si>
  <si>
    <t>Dis Mn Station Equip</t>
  </si>
  <si>
    <t>9593000</t>
  </si>
  <si>
    <t>Dis Mn Ovhd Lines</t>
  </si>
  <si>
    <t>9594000</t>
  </si>
  <si>
    <t>Dis Mn Undgrd Lines</t>
  </si>
  <si>
    <t>9595000</t>
  </si>
  <si>
    <t>Dis Mn Line Transfor</t>
  </si>
  <si>
    <t>9596000</t>
  </si>
  <si>
    <t>Dis Mn St Ltng &amp; Sig</t>
  </si>
  <si>
    <t>9597000</t>
  </si>
  <si>
    <t>Dis Mn Meters</t>
  </si>
  <si>
    <t>9870000</t>
  </si>
  <si>
    <t>9871000</t>
  </si>
  <si>
    <t>9874000</t>
  </si>
  <si>
    <t>Dis Op Mains &amp; Serv</t>
  </si>
  <si>
    <t>9875000</t>
  </si>
  <si>
    <t>Dis Op M &amp; R Stn-Gen</t>
  </si>
  <si>
    <t>9876000</t>
  </si>
  <si>
    <t>Dis Op M &amp; R Stn-Ind</t>
  </si>
  <si>
    <t>9878000</t>
  </si>
  <si>
    <t>Dis Op Mtr &amp; Hou Reg</t>
  </si>
  <si>
    <t>9879000</t>
  </si>
  <si>
    <t>9880000</t>
  </si>
  <si>
    <t>Dis Op Other Expense</t>
  </si>
  <si>
    <t>9881000</t>
  </si>
  <si>
    <t>9885000</t>
  </si>
  <si>
    <t>9886000</t>
  </si>
  <si>
    <t>Dis Mn Structures</t>
  </si>
  <si>
    <t>9887000</t>
  </si>
  <si>
    <t>Dis Mn Mains</t>
  </si>
  <si>
    <t>9889000</t>
  </si>
  <si>
    <t>Dis Mn M &amp; R Stn-Gen</t>
  </si>
  <si>
    <t>9890000</t>
  </si>
  <si>
    <t>Dis Mn M &amp; R Stn-Ind</t>
  </si>
  <si>
    <t>9892000</t>
  </si>
  <si>
    <t>Dis Mn Services</t>
  </si>
  <si>
    <t>9893000</t>
  </si>
  <si>
    <t>Dis Mn Mtr &amp; Hou Reg</t>
  </si>
  <si>
    <t>9894000</t>
  </si>
  <si>
    <t>Dis Mn Other Equipm</t>
  </si>
  <si>
    <t>ZW_CUSTOMER_ACCTS_EXP</t>
  </si>
  <si>
    <t>WUTC Customer Accoun</t>
  </si>
  <si>
    <t>9901000</t>
  </si>
  <si>
    <t>Customer Accts Supv</t>
  </si>
  <si>
    <t>9902000</t>
  </si>
  <si>
    <t>Meter Reading Exp</t>
  </si>
  <si>
    <t>9903000</t>
  </si>
  <si>
    <t>Customer Rec &amp; Coll</t>
  </si>
  <si>
    <t>9903100</t>
  </si>
  <si>
    <t>Cust Rec Col Exp-E</t>
  </si>
  <si>
    <t>9904000</t>
  </si>
  <si>
    <t>Uncollectible Accts</t>
  </si>
  <si>
    <t>ZW_CUSTOMER_SERV_EXP</t>
  </si>
  <si>
    <t>WUTC Customer Servic</t>
  </si>
  <si>
    <t>9908010</t>
  </si>
  <si>
    <t>Customer Serv Exp</t>
  </si>
  <si>
    <t>9909000</t>
  </si>
  <si>
    <t>Infor &amp; Inst Adv Exp</t>
  </si>
  <si>
    <t>9910000</t>
  </si>
  <si>
    <t>9912000</t>
  </si>
  <si>
    <t>Demonstr &amp; Sell Exp</t>
  </si>
  <si>
    <t>ZW_CONSERV_AMORTIZATION</t>
  </si>
  <si>
    <t>WUTC Conservation Am</t>
  </si>
  <si>
    <t>9908020</t>
  </si>
  <si>
    <t>Conserv Amortization</t>
  </si>
  <si>
    <t>ZW_ADMIN_GEN_EXP</t>
  </si>
  <si>
    <t>WUTC Admin &amp; General</t>
  </si>
  <si>
    <t>9920000</t>
  </si>
  <si>
    <t>Admin &amp; Gen Salaries</t>
  </si>
  <si>
    <t>9921000</t>
  </si>
  <si>
    <t>Office Suppies &amp; Exp</t>
  </si>
  <si>
    <t>9922000</t>
  </si>
  <si>
    <t>Admin Exp Transf-Cr</t>
  </si>
  <si>
    <t>9923000</t>
  </si>
  <si>
    <t>Outside Svc Employed</t>
  </si>
  <si>
    <t>9924000</t>
  </si>
  <si>
    <t>Property Insurance</t>
  </si>
  <si>
    <t>9925000</t>
  </si>
  <si>
    <t>Injuries and Damages</t>
  </si>
  <si>
    <t>9926000</t>
  </si>
  <si>
    <t>Employee Pen &amp; Ben</t>
  </si>
  <si>
    <t>9928000</t>
  </si>
  <si>
    <t>Reg Commission Exp</t>
  </si>
  <si>
    <t>9930200</t>
  </si>
  <si>
    <t>Misc General Exp</t>
  </si>
  <si>
    <t>9931000</t>
  </si>
  <si>
    <t>Rents</t>
  </si>
  <si>
    <t>9932000</t>
  </si>
  <si>
    <t>Gas Maint of Gen Plt</t>
  </si>
  <si>
    <t>9935000</t>
  </si>
  <si>
    <t>Ele Maint of Gen Plt</t>
  </si>
  <si>
    <t>ZW_DEPR_DEPL_AMORTIZ</t>
  </si>
  <si>
    <t>WUTC Depreciation, D</t>
  </si>
  <si>
    <t>ZW_DEPRECIATION</t>
  </si>
  <si>
    <t>WUTC Depreciation</t>
  </si>
  <si>
    <t>9403000</t>
  </si>
  <si>
    <t>Depreciation Expense</t>
  </si>
  <si>
    <t>9403100</t>
  </si>
  <si>
    <t>Dep Exp Asset Retire</t>
  </si>
  <si>
    <t>ZW_AMORTIZATION</t>
  </si>
  <si>
    <t>WUTC Amortization</t>
  </si>
  <si>
    <t>9404000</t>
  </si>
  <si>
    <t>Amort of Limitd-Term</t>
  </si>
  <si>
    <t>9406000</t>
  </si>
  <si>
    <t>Amor of Plnt Acq Adj</t>
  </si>
  <si>
    <t>9411000</t>
  </si>
  <si>
    <t>Accretion Expense</t>
  </si>
  <si>
    <t>9404300</t>
  </si>
  <si>
    <t>Amort of Lim-Ter Gas</t>
  </si>
  <si>
    <t>ZW_AMORTIZ_PROP_LOSS</t>
  </si>
  <si>
    <t>WUTC Amortization of</t>
  </si>
  <si>
    <t>9407000</t>
  </si>
  <si>
    <t>Amor of Prop Loss Un</t>
  </si>
  <si>
    <t>ZW_OTHER_OPERATING_EXP</t>
  </si>
  <si>
    <t>9407300</t>
  </si>
  <si>
    <t>Regulatory Debits</t>
  </si>
  <si>
    <t>9407400</t>
  </si>
  <si>
    <t>Regulatory Credits</t>
  </si>
  <si>
    <t>9411600</t>
  </si>
  <si>
    <t>Gns from Disposition</t>
  </si>
  <si>
    <t>9411700</t>
  </si>
  <si>
    <t>Lss from Disposition</t>
  </si>
  <si>
    <t>9411800</t>
  </si>
  <si>
    <t>Gns from Dispo Allw</t>
  </si>
  <si>
    <t>ZW_ASC_815</t>
  </si>
  <si>
    <t>WUTC ASC 815</t>
  </si>
  <si>
    <t>9421010</t>
  </si>
  <si>
    <t>Msc NonOp FAS 133 Gn</t>
  </si>
  <si>
    <t>9426510</t>
  </si>
  <si>
    <t>FAS 133 Loss</t>
  </si>
  <si>
    <t>ZW_TAXES_OTHER_INC_TAX</t>
  </si>
  <si>
    <t>WUTC Taxes Other Tha</t>
  </si>
  <si>
    <t>9408100</t>
  </si>
  <si>
    <t>Other Taxes-Utl Oper</t>
  </si>
  <si>
    <t>ZW_INCOME_TAXES</t>
  </si>
  <si>
    <t>WUTC Income Taxes</t>
  </si>
  <si>
    <t>9409120</t>
  </si>
  <si>
    <t>ZW_DEFERRED_INC_TAXES</t>
  </si>
  <si>
    <t>WUTC Deferred Income</t>
  </si>
  <si>
    <t>9410100</t>
  </si>
  <si>
    <t>Prov Def Taxes-Utl</t>
  </si>
  <si>
    <t>9411100</t>
  </si>
  <si>
    <t>Prov Def Tx-Cr Util</t>
  </si>
  <si>
    <t>ZW_NON-OPERATING_INCOME</t>
  </si>
  <si>
    <t>WUTC Non-Operating I</t>
  </si>
  <si>
    <t>ZW_OTHER_INCOME</t>
  </si>
  <si>
    <t>WUTC Other Income</t>
  </si>
  <si>
    <t>9408200</t>
  </si>
  <si>
    <t>Other Taxes-Oth Inc</t>
  </si>
  <si>
    <t>9409200</t>
  </si>
  <si>
    <t>Inc Taxes-Other Inc</t>
  </si>
  <si>
    <t>9410200</t>
  </si>
  <si>
    <t>Prov Def Taxes-Oth</t>
  </si>
  <si>
    <t>9415000</t>
  </si>
  <si>
    <t>Rev frm Merch &amp; Job</t>
  </si>
  <si>
    <t>9416000</t>
  </si>
  <si>
    <t>Exp frm Merch &amp; Job</t>
  </si>
  <si>
    <t>9417000</t>
  </si>
  <si>
    <t>Rev frm Nonutil Oper</t>
  </si>
  <si>
    <t>9417100</t>
  </si>
  <si>
    <t>Exp frm Nonutil Oper</t>
  </si>
  <si>
    <t>9418000</t>
  </si>
  <si>
    <t>Nonoper Rental Inc</t>
  </si>
  <si>
    <t>9418100</t>
  </si>
  <si>
    <t>9419000</t>
  </si>
  <si>
    <t>Inter &amp; Dividend Inc</t>
  </si>
  <si>
    <t>9419100</t>
  </si>
  <si>
    <t>Allow for Oth FUDC</t>
  </si>
  <si>
    <t>9421020</t>
  </si>
  <si>
    <t>Misc NonOper Income</t>
  </si>
  <si>
    <t>9421030</t>
  </si>
  <si>
    <t>Misc NonOp Inc-AFUDC</t>
  </si>
  <si>
    <t>9426100</t>
  </si>
  <si>
    <t>Donations</t>
  </si>
  <si>
    <t>9426200</t>
  </si>
  <si>
    <t>9426300</t>
  </si>
  <si>
    <t>9426400</t>
  </si>
  <si>
    <t>Exp Civic Politi Act</t>
  </si>
  <si>
    <t>9426520</t>
  </si>
  <si>
    <t>Other Deductions</t>
  </si>
  <si>
    <t>ZW_INTEREST</t>
  </si>
  <si>
    <t>WUTC Interest</t>
  </si>
  <si>
    <t>9427000</t>
  </si>
  <si>
    <t>Interest on LT Debt</t>
  </si>
  <si>
    <t>9428000</t>
  </si>
  <si>
    <t>Amort Debt Disp&amp;Exp</t>
  </si>
  <si>
    <t>9428100</t>
  </si>
  <si>
    <t>Amort Lss Reacq Debt</t>
  </si>
  <si>
    <t>9431000</t>
  </si>
  <si>
    <t>Oth Interest Expense</t>
  </si>
  <si>
    <t>9432000</t>
  </si>
  <si>
    <t>Allow for Borr FUDC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</si>
  <si>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</si>
  <si>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</si>
  <si>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</si>
  <si>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</si>
  <si>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</si>
  <si>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</si>
  <si>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</si>
  <si>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</si>
  <si>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</si>
  <si>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</si>
  <si>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</si>
  <si>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</si>
  <si>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</si>
  <si>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</si>
  <si>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</si>
  <si>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</si>
  <si>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</si>
  <si>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</si>
  <si>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</si>
  <si>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</si>
  <si>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</si>
  <si>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</si>
  <si>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</si>
  <si>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</si>
  <si>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</si>
  <si>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</si>
  <si>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</si>
  <si>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</si>
  <si>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</si>
  <si>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</si>
  <si>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</si>
  <si>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</si>
  <si>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</si>
  <si>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</si>
  <si>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</si>
  <si>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</si>
  <si>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</si>
  <si>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</si>
  <si>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</si>
  <si>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</si>
  <si>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</si>
  <si>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</si>
  <si>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</si>
  <si>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</si>
  <si>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</si>
  <si>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</si>
  <si>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</si>
  <si>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</si>
  <si>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Electric Rate</t>
  </si>
  <si>
    <t>Gas Rate</t>
  </si>
  <si>
    <t>Electric Allocator</t>
  </si>
  <si>
    <t>Gas Allocator</t>
  </si>
  <si>
    <t>(20) 904 - Uncollectible Accounts</t>
  </si>
  <si>
    <t>UGS Op Purificat Exp</t>
  </si>
  <si>
    <t>State Income Taxes</t>
  </si>
  <si>
    <t>Federal Income Taxes</t>
  </si>
  <si>
    <t>4FCTR</t>
  </si>
  <si>
    <t>topside</t>
  </si>
  <si>
    <t>Common Direct</t>
  </si>
  <si>
    <t>Gas Allocated</t>
  </si>
  <si>
    <t>$</t>
  </si>
  <si>
    <t xml:space="preserve">          (5) 496 - Provision for rate refunds G</t>
  </si>
  <si>
    <t xml:space="preserve">               (17) 8070 - Purchased Gas Expenses</t>
  </si>
  <si>
    <t>9807000</t>
  </si>
  <si>
    <t xml:space="preserve">               (17) 8441 - Gas LNG Oper Sup &amp; Eng</t>
  </si>
  <si>
    <t>9902*</t>
  </si>
  <si>
    <t>9903*</t>
  </si>
  <si>
    <t>9404*</t>
  </si>
  <si>
    <t>FOR THE YEAR ENDED DECEMBER 31, 2019</t>
  </si>
  <si>
    <t>Prov for Elec Rt Ref</t>
  </si>
  <si>
    <t>Prov for Gas Rt Ref</t>
  </si>
  <si>
    <t>Purchased Gas Exp</t>
  </si>
  <si>
    <t>UGS Op Storage Well</t>
  </si>
  <si>
    <t>UGS Mn Lines</t>
  </si>
  <si>
    <t>Trm Mn Structures</t>
  </si>
  <si>
    <t>Trm Mn Comp Hardware</t>
  </si>
  <si>
    <t>9902100</t>
  </si>
  <si>
    <t>Meter Reading Exp-E</t>
  </si>
  <si>
    <t>9902200</t>
  </si>
  <si>
    <t>Meter Reading Exp-G</t>
  </si>
  <si>
    <t>9903200</t>
  </si>
  <si>
    <t>Cust Rec Col Exp-G</t>
  </si>
  <si>
    <t>Misc Cust Serv Exp</t>
  </si>
  <si>
    <t>Gen Advertising Exp</t>
  </si>
  <si>
    <t>Equity in Earn Subs</t>
  </si>
  <si>
    <t>Gn on Dispos of Prop</t>
  </si>
  <si>
    <t>Life insurance</t>
  </si>
  <si>
    <t>Penalties</t>
  </si>
  <si>
    <t>(spread is based on allocation factors developed for the December 2019 CBR)</t>
  </si>
  <si>
    <t>DEC19 CBR</t>
  </si>
  <si>
    <t>(27) 4074 - Regulatory Credits</t>
  </si>
  <si>
    <r>
      <t xml:space="preserve"> </t>
    </r>
    <r>
      <rPr>
        <u/>
        <sz val="10"/>
        <color theme="1"/>
        <rFont val="Arial"/>
        <family val="2"/>
      </rPr>
      <t>Allocation Method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</si>
</sst>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9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\$\ #,##0.00"/>
    <numFmt numFmtId="173" formatCode="\$\ #,##0.00;\$\ \-\ #,##0.00"/>
    <numFmt numFmtId="175" formatCode="&quot;[-] &quot;@"/>
    <numFmt numFmtId="176" formatCode="#,##0.00;\-#,##0.00;#,##0.00"/>
    <numFmt numFmtId="177" formatCode="&quot;  [-] &quot;@"/>
    <numFmt numFmtId="178" formatCode="&quot;    [-] &quot;@"/>
    <numFmt numFmtId="179" formatCode="&quot;      [-] &quot;@"/>
    <numFmt numFmtId="180" formatCode="&quot;        [-] &quot;@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 val="singleAccounting"/>
      <sz val="10"/>
      <color theme="1"/>
      <name val="Arial"/>
      <family val="2"/>
    </font>
    <font>
      <u/>
      <sz val="10"/>
      <color theme="1"/>
      <name val="Arial"/>
      <family val="2"/>
    </font>
    <font>
      <sz val="6"/>
      <color theme="1"/>
      <name val="Arial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-0.24994659260841701"/>
      </bottom>
      <diagonal/>
    </border>
  </borders>
  <cellStyleXfs count="1">
    <xf numFmtId="0" fontId="0" fillId="0" borderId="0"/>
  </cellStyleXfs>
  <cellXfs count="276">
    <xf numFmtId="0" fontId="0" fillId="0" borderId="0" xfId="0"/>
    <xf numFmtId="0" fontId="7" fillId="0" borderId="0" xfId="0" applyFont="1" applyFill="1" applyBorder="1" applyAlignment="1">
      <alignment horizontal="center" vertical="center"/>
    </xf>
    <xf numFmtId="0" fontId="0" fillId="0" borderId="5" xfId="0" applyBorder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42" fontId="6" fillId="0" borderId="3" xfId="0" applyNumberFormat="1" applyFont="1" applyFill="1" applyBorder="1"/>
    <xf numFmtId="0" fontId="0" fillId="0" borderId="0" xfId="0" applyFill="1"/>
    <xf numFmtId="166" fontId="0" fillId="0" borderId="0" xfId="0" applyNumberFormat="1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43" fontId="0" fillId="0" borderId="0" xfId="0" applyNumberFormat="1" applyFill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centerContinuous" vertical="center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0" xfId="0" applyFont="1" applyFill="1" applyBorder="1"/>
    <xf numFmtId="0" fontId="6" fillId="0" borderId="16" xfId="0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0" fontId="6" fillId="0" borderId="11" xfId="0" applyNumberFormat="1" applyFont="1" applyFill="1" applyBorder="1" applyAlignment="1">
      <alignment horizontal="center"/>
    </xf>
    <xf numFmtId="0" fontId="6" fillId="0" borderId="11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8" fontId="6" fillId="0" borderId="0" xfId="0" applyNumberFormat="1" applyFont="1" applyFill="1"/>
    <xf numFmtId="165" fontId="6" fillId="0" borderId="0" xfId="0" applyNumberFormat="1" applyFont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0" fontId="6" fillId="0" borderId="11" xfId="0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168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0" fontId="6" fillId="0" borderId="0" xfId="0" applyNumberFormat="1" applyFont="1" applyFill="1"/>
    <xf numFmtId="166" fontId="6" fillId="0" borderId="3" xfId="0" quotePrefix="1" applyNumberFormat="1" applyFont="1" applyFill="1" applyBorder="1" applyAlignment="1">
      <alignment horizontal="left"/>
    </xf>
    <xf numFmtId="166" fontId="6" fillId="0" borderId="3" xfId="0" applyNumberFormat="1" applyFont="1" applyFill="1" applyBorder="1"/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164" fontId="18" fillId="0" borderId="0" xfId="0" applyNumberFormat="1" applyFont="1" applyFill="1" applyAlignment="1">
      <alignment horizontal="right"/>
    </xf>
    <xf numFmtId="49" fontId="19" fillId="0" borderId="3" xfId="0" applyNumberFormat="1" applyFont="1" applyFill="1" applyBorder="1" applyAlignment="1">
      <alignment horizontal="center"/>
    </xf>
    <xf numFmtId="164" fontId="10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left"/>
    </xf>
    <xf numFmtId="49" fontId="17" fillId="0" borderId="0" xfId="0" applyNumberFormat="1" applyFont="1" applyFill="1" applyAlignment="1">
      <alignment horizontal="right"/>
    </xf>
    <xf numFmtId="171" fontId="20" fillId="0" borderId="20" xfId="0" quotePrefix="1" applyNumberFormat="1" applyFont="1" applyFill="1" applyBorder="1" applyAlignment="1"/>
    <xf numFmtId="164" fontId="18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center"/>
    </xf>
    <xf numFmtId="166" fontId="6" fillId="0" borderId="21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 applyAlignment="1">
      <alignment horizontal="center" vertical="center" wrapText="1"/>
    </xf>
    <xf numFmtId="166" fontId="6" fillId="0" borderId="22" xfId="0" applyNumberFormat="1" applyFont="1" applyFill="1" applyBorder="1"/>
    <xf numFmtId="166" fontId="6" fillId="0" borderId="22" xfId="0" applyNumberFormat="1" applyFont="1" applyFill="1" applyBorder="1" applyAlignment="1">
      <alignment horizontal="center"/>
    </xf>
    <xf numFmtId="10" fontId="6" fillId="0" borderId="22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168" fontId="6" fillId="0" borderId="16" xfId="0" applyNumberFormat="1" applyFont="1" applyFill="1" applyBorder="1"/>
    <xf numFmtId="166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6" fontId="6" fillId="0" borderId="23" xfId="0" applyNumberFormat="1" applyFont="1" applyFill="1" applyBorder="1"/>
    <xf numFmtId="166" fontId="6" fillId="0" borderId="15" xfId="0" applyNumberFormat="1" applyFont="1" applyFill="1" applyBorder="1"/>
    <xf numFmtId="10" fontId="6" fillId="0" borderId="21" xfId="0" applyNumberFormat="1" applyFont="1" applyFill="1" applyBorder="1" applyAlignment="1">
      <alignment horizontal="center"/>
    </xf>
    <xf numFmtId="10" fontId="6" fillId="0" borderId="23" xfId="0" applyNumberFormat="1" applyFont="1" applyFill="1" applyBorder="1" applyAlignment="1">
      <alignment horizontal="center"/>
    </xf>
    <xf numFmtId="0" fontId="6" fillId="0" borderId="22" xfId="0" applyFont="1" applyFill="1" applyBorder="1" applyAlignment="1">
      <alignment horizontal="center"/>
    </xf>
    <xf numFmtId="166" fontId="6" fillId="0" borderId="24" xfId="0" applyNumberFormat="1" applyFont="1" applyFill="1" applyBorder="1"/>
    <xf numFmtId="10" fontId="6" fillId="0" borderId="21" xfId="0" applyNumberFormat="1" applyFont="1" applyFill="1" applyBorder="1"/>
    <xf numFmtId="10" fontId="6" fillId="0" borderId="23" xfId="0" applyNumberFormat="1" applyFont="1" applyFill="1" applyBorder="1"/>
    <xf numFmtId="0" fontId="6" fillId="0" borderId="0" xfId="0" applyFont="1" applyFill="1" applyBorder="1"/>
    <xf numFmtId="0" fontId="4" fillId="0" borderId="0" xfId="0" applyFont="1" applyFill="1" applyAlignment="1">
      <alignment horizontal="center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/>
    </xf>
    <xf numFmtId="0" fontId="7" fillId="0" borderId="3" xfId="0" applyFont="1" applyBorder="1" applyAlignment="1">
      <alignment horizontal="centerContinuous"/>
    </xf>
    <xf numFmtId="0" fontId="7" fillId="0" borderId="0" xfId="0" applyFont="1" applyFill="1" applyBorder="1" applyAlignment="1">
      <alignment horizontal="centerContinuous" vertical="center"/>
    </xf>
    <xf numFmtId="2" fontId="6" fillId="0" borderId="0" xfId="0" applyNumberFormat="1" applyFont="1" applyFill="1"/>
    <xf numFmtId="168" fontId="4" fillId="0" borderId="16" xfId="0" applyNumberFormat="1" applyFont="1" applyFill="1" applyBorder="1"/>
    <xf numFmtId="41" fontId="13" fillId="0" borderId="24" xfId="0" applyNumberFormat="1" applyFont="1" applyFill="1" applyBorder="1" applyAlignment="1">
      <alignment horizontal="right"/>
    </xf>
    <xf numFmtId="0" fontId="21" fillId="0" borderId="13" xfId="0" quotePrefix="1" applyNumberFormat="1" applyFont="1" applyFill="1" applyBorder="1" applyAlignment="1">
      <alignment horizontal="left" vertical="center"/>
    </xf>
    <xf numFmtId="10" fontId="6" fillId="0" borderId="7" xfId="0" applyNumberFormat="1" applyFont="1" applyFill="1" applyBorder="1" applyAlignment="1">
      <alignment horizontal="center"/>
    </xf>
    <xf numFmtId="10" fontId="22" fillId="0" borderId="11" xfId="0" applyNumberFormat="1" applyFont="1" applyFill="1" applyBorder="1" applyAlignment="1">
      <alignment horizontal="right" wrapText="1"/>
    </xf>
    <xf numFmtId="166" fontId="10" fillId="0" borderId="0" xfId="0" applyNumberFormat="1" applyFont="1" applyFill="1" applyBorder="1" applyAlignment="1">
      <alignment horizontal="center"/>
    </xf>
    <xf numFmtId="166" fontId="6" fillId="0" borderId="6" xfId="0" applyNumberFormat="1" applyFont="1" applyFill="1" applyBorder="1" applyAlignment="1"/>
    <xf numFmtId="166" fontId="6" fillId="0" borderId="7" xfId="0" applyNumberFormat="1" applyFont="1" applyFill="1" applyBorder="1" applyAlignment="1"/>
    <xf numFmtId="10" fontId="6" fillId="0" borderId="7" xfId="0" applyNumberFormat="1" applyFont="1" applyFill="1" applyBorder="1" applyAlignment="1"/>
    <xf numFmtId="10" fontId="6" fillId="0" borderId="23" xfId="0" applyNumberFormat="1" applyFont="1" applyFill="1" applyBorder="1" applyAlignment="1"/>
    <xf numFmtId="0" fontId="6" fillId="0" borderId="15" xfId="0" applyFont="1" applyFill="1" applyBorder="1" applyAlignment="1">
      <alignment horizontal="center"/>
    </xf>
    <xf numFmtId="0" fontId="19" fillId="0" borderId="0" xfId="0" applyFont="1" applyAlignment="1">
      <alignment horizontal="centerContinuous"/>
    </xf>
    <xf numFmtId="49" fontId="17" fillId="0" borderId="0" xfId="0" applyNumberFormat="1" applyFont="1" applyFill="1" applyAlignment="1">
      <alignment horizontal="centerContinuous"/>
    </xf>
    <xf numFmtId="0" fontId="23" fillId="0" borderId="0" xfId="0" applyFont="1" applyFill="1" applyAlignment="1">
      <alignment horizontal="centerContinuous"/>
    </xf>
    <xf numFmtId="14" fontId="17" fillId="0" borderId="0" xfId="0" applyNumberFormat="1" applyFont="1" applyFill="1" applyAlignment="1">
      <alignment horizontal="right"/>
    </xf>
    <xf numFmtId="49" fontId="2" fillId="0" borderId="0" xfId="0" applyNumberFormat="1" applyFont="1" applyFill="1" applyAlignment="1">
      <alignment horizontal="left" wrapText="1"/>
    </xf>
    <xf numFmtId="49" fontId="2" fillId="0" borderId="0" xfId="0" applyNumberFormat="1" applyFont="1" applyFill="1" applyAlignment="1">
      <alignment horizontal="right" wrapText="1"/>
    </xf>
    <xf numFmtId="164" fontId="17" fillId="0" borderId="0" xfId="0" applyNumberFormat="1" applyFont="1" applyFill="1" applyAlignment="1">
      <alignment horizontal="right"/>
    </xf>
    <xf numFmtId="164" fontId="14" fillId="0" borderId="0" xfId="0" applyNumberFormat="1" applyFont="1" applyFill="1" applyAlignment="1">
      <alignment horizontal="left"/>
    </xf>
    <xf numFmtId="164" fontId="11" fillId="0" borderId="0" xfId="0" applyNumberFormat="1" applyFont="1" applyFill="1" applyAlignment="1">
      <alignment horizontal="right"/>
    </xf>
    <xf numFmtId="0" fontId="11" fillId="0" borderId="0" xfId="0" applyFont="1" applyFill="1"/>
    <xf numFmtId="42" fontId="11" fillId="0" borderId="0" xfId="0" applyNumberFormat="1" applyFont="1" applyFill="1"/>
    <xf numFmtId="41" fontId="11" fillId="0" borderId="0" xfId="0" applyNumberFormat="1" applyFont="1" applyFill="1"/>
    <xf numFmtId="42" fontId="11" fillId="0" borderId="0" xfId="0" applyNumberFormat="1" applyFont="1" applyFill="1" applyAlignment="1">
      <alignment horizontal="right"/>
    </xf>
    <xf numFmtId="169" fontId="20" fillId="0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0" fontId="7" fillId="0" borderId="18" xfId="0" quotePrefix="1" applyFont="1" applyFill="1" applyBorder="1" applyAlignment="1">
      <alignment horizontal="left" vertical="center" indent="6"/>
    </xf>
    <xf numFmtId="164" fontId="2" fillId="0" borderId="0" xfId="0" applyNumberFormat="1" applyFont="1" applyFill="1" applyAlignment="1">
      <alignment horizontal="right"/>
    </xf>
    <xf numFmtId="41" fontId="10" fillId="0" borderId="14" xfId="0" applyNumberFormat="1" applyFont="1" applyFill="1" applyBorder="1" applyAlignment="1">
      <alignment horizontal="right"/>
    </xf>
    <xf numFmtId="170" fontId="20" fillId="0" borderId="19" xfId="0" quotePrefix="1" applyNumberFormat="1" applyFont="1" applyFill="1" applyBorder="1" applyAlignment="1"/>
    <xf numFmtId="164" fontId="0" fillId="0" borderId="0" xfId="0" applyNumberFormat="1" applyFill="1"/>
    <xf numFmtId="41" fontId="10" fillId="0" borderId="24" xfId="0" applyNumberFormat="1" applyFont="1" applyFill="1" applyBorder="1" applyAlignment="1">
      <alignment horizontal="right"/>
    </xf>
    <xf numFmtId="41" fontId="10" fillId="0" borderId="4" xfId="0" applyNumberFormat="1" applyFont="1" applyFill="1" applyBorder="1" applyAlignment="1">
      <alignment horizontal="right"/>
    </xf>
    <xf numFmtId="10" fontId="0" fillId="0" borderId="0" xfId="0" applyNumberFormat="1" applyFill="1"/>
    <xf numFmtId="164" fontId="11" fillId="0" borderId="3" xfId="0" applyNumberFormat="1" applyFont="1" applyFill="1" applyBorder="1" applyAlignment="1">
      <alignment horizontal="left"/>
    </xf>
    <xf numFmtId="41" fontId="11" fillId="0" borderId="24" xfId="0" applyNumberFormat="1" applyFont="1" applyFill="1" applyBorder="1" applyAlignment="1">
      <alignment horizontal="right"/>
    </xf>
    <xf numFmtId="41" fontId="11" fillId="0" borderId="2" xfId="0" applyNumberFormat="1" applyFont="1" applyFill="1" applyBorder="1" applyAlignment="1">
      <alignment horizontal="right"/>
    </xf>
    <xf numFmtId="41" fontId="19" fillId="0" borderId="0" xfId="0" applyNumberFormat="1" applyFont="1" applyFill="1" applyAlignment="1">
      <alignment horizontal="right"/>
    </xf>
    <xf numFmtId="0" fontId="5" fillId="0" borderId="18" xfId="0" quotePrefix="1" applyFont="1" applyFill="1" applyBorder="1" applyAlignment="1">
      <alignment horizontal="left" vertical="center" indent="6"/>
    </xf>
    <xf numFmtId="42" fontId="10" fillId="0" borderId="4" xfId="0" applyNumberFormat="1" applyFont="1" applyFill="1" applyBorder="1" applyAlignment="1">
      <alignment horizontal="right"/>
    </xf>
    <xf numFmtId="0" fontId="13" fillId="0" borderId="18" xfId="0" quotePrefix="1" applyFont="1" applyFill="1" applyBorder="1" applyAlignment="1">
      <alignment horizontal="left" vertical="center" indent="6"/>
    </xf>
    <xf numFmtId="168" fontId="24" fillId="0" borderId="0" xfId="0" applyNumberFormat="1" applyFont="1" applyFill="1" applyBorder="1"/>
    <xf numFmtId="0" fontId="23" fillId="0" borderId="0" xfId="0" applyFont="1" applyFill="1" applyAlignment="1">
      <alignment horizontal="centerContinuous" vertical="center"/>
    </xf>
    <xf numFmtId="0" fontId="23" fillId="0" borderId="0" xfId="0" applyFont="1" applyFill="1" applyAlignment="1">
      <alignment horizontal="center"/>
    </xf>
    <xf numFmtId="0" fontId="19" fillId="0" borderId="0" xfId="0" applyFont="1" applyBorder="1" applyAlignment="1">
      <alignment horizontal="centerContinuous" vertical="center"/>
    </xf>
    <xf numFmtId="0" fontId="19" fillId="0" borderId="0" xfId="0" applyFont="1" applyBorder="1" applyAlignment="1">
      <alignment vertical="center"/>
    </xf>
    <xf numFmtId="0" fontId="22" fillId="0" borderId="0" xfId="0" applyFont="1" applyFill="1"/>
    <xf numFmtId="0" fontId="22" fillId="0" borderId="6" xfId="0" applyFont="1" applyFill="1" applyBorder="1" applyAlignment="1">
      <alignment vertical="center" wrapText="1"/>
    </xf>
    <xf numFmtId="0" fontId="22" fillId="0" borderId="14" xfId="0" applyFont="1" applyFill="1" applyBorder="1" applyAlignment="1">
      <alignment vertical="center" wrapText="1"/>
    </xf>
    <xf numFmtId="166" fontId="22" fillId="0" borderId="5" xfId="0" applyNumberFormat="1" applyFont="1" applyFill="1" applyBorder="1" applyAlignment="1">
      <alignment horizontal="center" vertical="center" wrapText="1"/>
    </xf>
    <xf numFmtId="166" fontId="22" fillId="0" borderId="5" xfId="0" quotePrefix="1" applyNumberFormat="1" applyFont="1" applyFill="1" applyBorder="1" applyAlignment="1">
      <alignment horizontal="center" vertical="center" wrapText="1"/>
    </xf>
    <xf numFmtId="166" fontId="22" fillId="0" borderId="9" xfId="0" applyNumberFormat="1" applyFont="1" applyFill="1" applyBorder="1" applyAlignment="1">
      <alignment horizontal="center" vertical="center" wrapText="1"/>
    </xf>
    <xf numFmtId="166" fontId="22" fillId="0" borderId="8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/>
    <xf numFmtId="0" fontId="22" fillId="0" borderId="16" xfId="0" applyFont="1" applyFill="1" applyBorder="1"/>
    <xf numFmtId="166" fontId="22" fillId="0" borderId="8" xfId="0" applyNumberFormat="1" applyFont="1" applyFill="1" applyBorder="1"/>
    <xf numFmtId="166" fontId="22" fillId="0" borderId="8" xfId="0" applyNumberFormat="1" applyFont="1" applyFill="1" applyBorder="1" applyAlignment="1">
      <alignment horizontal="center"/>
    </xf>
    <xf numFmtId="10" fontId="22" fillId="0" borderId="8" xfId="0" applyNumberFormat="1" applyFont="1" applyFill="1" applyBorder="1"/>
    <xf numFmtId="166" fontId="22" fillId="0" borderId="16" xfId="0" applyNumberFormat="1" applyFont="1" applyFill="1" applyBorder="1"/>
    <xf numFmtId="165" fontId="22" fillId="0" borderId="0" xfId="0" applyNumberFormat="1" applyFont="1" applyFill="1"/>
    <xf numFmtId="42" fontId="22" fillId="0" borderId="11" xfId="0" applyNumberFormat="1" applyFont="1" applyFill="1" applyBorder="1"/>
    <xf numFmtId="0" fontId="22" fillId="0" borderId="11" xfId="0" applyNumberFormat="1" applyFont="1" applyFill="1" applyBorder="1" applyAlignment="1">
      <alignment horizontal="center"/>
    </xf>
    <xf numFmtId="42" fontId="22" fillId="0" borderId="16" xfId="0" applyNumberFormat="1" applyFont="1" applyFill="1" applyBorder="1"/>
    <xf numFmtId="41" fontId="22" fillId="0" borderId="11" xfId="0" applyNumberFormat="1" applyFont="1" applyFill="1" applyBorder="1"/>
    <xf numFmtId="41" fontId="22" fillId="0" borderId="16" xfId="0" applyNumberFormat="1" applyFont="1" applyFill="1" applyBorder="1"/>
    <xf numFmtId="165" fontId="22" fillId="0" borderId="0" xfId="0" applyNumberFormat="1" applyFont="1" applyFill="1" applyAlignment="1">
      <alignment horizontal="left"/>
    </xf>
    <xf numFmtId="41" fontId="22" fillId="0" borderId="13" xfId="0" applyNumberFormat="1" applyFont="1" applyFill="1" applyBorder="1"/>
    <xf numFmtId="0" fontId="22" fillId="0" borderId="13" xfId="0" applyNumberFormat="1" applyFont="1" applyFill="1" applyBorder="1" applyAlignment="1">
      <alignment horizontal="center"/>
    </xf>
    <xf numFmtId="10" fontId="22" fillId="0" borderId="13" xfId="0" applyNumberFormat="1" applyFont="1" applyFill="1" applyBorder="1" applyAlignment="1">
      <alignment horizontal="right" wrapText="1"/>
    </xf>
    <xf numFmtId="168" fontId="22" fillId="0" borderId="11" xfId="0" applyNumberFormat="1" applyFont="1" applyFill="1" applyBorder="1"/>
    <xf numFmtId="10" fontId="22" fillId="0" borderId="11" xfId="0" applyNumberFormat="1" applyFont="1" applyFill="1" applyBorder="1"/>
    <xf numFmtId="165" fontId="22" fillId="0" borderId="0" xfId="0" applyNumberFormat="1" applyFont="1"/>
    <xf numFmtId="41" fontId="22" fillId="0" borderId="17" xfId="0" applyNumberFormat="1" applyFont="1" applyFill="1" applyBorder="1"/>
    <xf numFmtId="0" fontId="22" fillId="0" borderId="10" xfId="0" applyFont="1" applyFill="1" applyBorder="1" applyAlignment="1">
      <alignment horizontal="left"/>
    </xf>
    <xf numFmtId="10" fontId="22" fillId="0" borderId="13" xfId="0" applyNumberFormat="1" applyFont="1" applyFill="1" applyBorder="1"/>
    <xf numFmtId="41" fontId="22" fillId="0" borderId="15" xfId="0" applyNumberFormat="1" applyFont="1" applyFill="1" applyBorder="1"/>
    <xf numFmtId="0" fontId="22" fillId="0" borderId="0" xfId="0" applyFont="1" applyFill="1" applyBorder="1"/>
    <xf numFmtId="0" fontId="22" fillId="0" borderId="10" xfId="0" quotePrefix="1" applyFont="1" applyFill="1" applyBorder="1" applyAlignment="1">
      <alignment horizontal="left"/>
    </xf>
    <xf numFmtId="0" fontId="22" fillId="0" borderId="11" xfId="0" applyFont="1" applyFill="1" applyBorder="1"/>
    <xf numFmtId="0" fontId="22" fillId="0" borderId="13" xfId="0" applyFont="1" applyFill="1" applyBorder="1" applyAlignment="1">
      <alignment horizontal="center"/>
    </xf>
    <xf numFmtId="0" fontId="22" fillId="0" borderId="12" xfId="0" applyFont="1" applyFill="1" applyBorder="1"/>
    <xf numFmtId="0" fontId="22" fillId="0" borderId="15" xfId="0" applyFont="1" applyFill="1" applyBorder="1"/>
    <xf numFmtId="166" fontId="22" fillId="0" borderId="11" xfId="0" applyNumberFormat="1" applyFont="1" applyFill="1" applyBorder="1"/>
    <xf numFmtId="42" fontId="24" fillId="0" borderId="13" xfId="0" applyNumberFormat="1" applyFont="1" applyFill="1" applyBorder="1"/>
    <xf numFmtId="168" fontId="24" fillId="0" borderId="13" xfId="0" applyNumberFormat="1" applyFont="1" applyFill="1" applyBorder="1"/>
    <xf numFmtId="10" fontId="24" fillId="0" borderId="13" xfId="0" applyNumberFormat="1" applyFont="1" applyFill="1" applyBorder="1"/>
    <xf numFmtId="43" fontId="11" fillId="0" borderId="0" xfId="0" applyNumberFormat="1" applyFont="1"/>
    <xf numFmtId="0" fontId="22" fillId="0" borderId="15" xfId="0" applyFont="1" applyFill="1" applyBorder="1" applyAlignment="1">
      <alignment horizontal="center"/>
    </xf>
    <xf numFmtId="10" fontId="22" fillId="0" borderId="21" xfId="0" applyNumberFormat="1" applyFont="1" applyFill="1" applyBorder="1" applyAlignment="1">
      <alignment horizontal="center"/>
    </xf>
    <xf numFmtId="10" fontId="22" fillId="0" borderId="23" xfId="0" applyNumberFormat="1" applyFont="1" applyFill="1" applyBorder="1" applyAlignment="1">
      <alignment horizontal="center"/>
    </xf>
    <xf numFmtId="10" fontId="22" fillId="0" borderId="7" xfId="0" applyNumberFormat="1" applyFont="1" applyFill="1" applyBorder="1" applyAlignment="1">
      <alignment horizontal="center"/>
    </xf>
    <xf numFmtId="0" fontId="22" fillId="0" borderId="22" xfId="0" applyFont="1" applyFill="1" applyBorder="1" applyAlignment="1">
      <alignment horizontal="center"/>
    </xf>
    <xf numFmtId="166" fontId="22" fillId="0" borderId="24" xfId="0" applyNumberFormat="1" applyFont="1" applyFill="1" applyBorder="1"/>
    <xf numFmtId="10" fontId="22" fillId="0" borderId="23" xfId="0" applyNumberFormat="1" applyFont="1" applyFill="1" applyBorder="1" applyAlignment="1"/>
    <xf numFmtId="166" fontId="22" fillId="0" borderId="6" xfId="0" applyNumberFormat="1" applyFont="1" applyFill="1" applyBorder="1" applyAlignment="1"/>
    <xf numFmtId="166" fontId="22" fillId="0" borderId="7" xfId="0" applyNumberFormat="1" applyFont="1" applyFill="1" applyBorder="1" applyAlignment="1"/>
    <xf numFmtId="10" fontId="22" fillId="0" borderId="7" xfId="0" applyNumberFormat="1" applyFont="1" applyFill="1" applyBorder="1" applyAlignment="1"/>
    <xf numFmtId="0" fontId="22" fillId="0" borderId="11" xfId="0" applyFont="1" applyFill="1" applyBorder="1" applyAlignment="1">
      <alignment horizontal="center"/>
    </xf>
    <xf numFmtId="166" fontId="22" fillId="0" borderId="0" xfId="0" quotePrefix="1" applyNumberFormat="1" applyFont="1" applyFill="1" applyBorder="1" applyAlignment="1">
      <alignment horizontal="left"/>
    </xf>
    <xf numFmtId="166" fontId="22" fillId="0" borderId="0" xfId="0" applyNumberFormat="1" applyFont="1" applyFill="1" applyBorder="1"/>
    <xf numFmtId="10" fontId="22" fillId="0" borderId="16" xfId="0" applyNumberFormat="1" applyFont="1" applyFill="1" applyBorder="1"/>
    <xf numFmtId="10" fontId="22" fillId="0" borderId="21" xfId="0" applyNumberFormat="1" applyFont="1" applyFill="1" applyBorder="1"/>
    <xf numFmtId="10" fontId="22" fillId="0" borderId="23" xfId="0" applyNumberFormat="1" applyFont="1" applyFill="1" applyBorder="1"/>
    <xf numFmtId="10" fontId="22" fillId="0" borderId="10" xfId="0" applyNumberFormat="1" applyFont="1" applyFill="1" applyBorder="1"/>
    <xf numFmtId="166" fontId="22" fillId="0" borderId="3" xfId="0" quotePrefix="1" applyNumberFormat="1" applyFont="1" applyFill="1" applyBorder="1" applyAlignment="1">
      <alignment horizontal="left"/>
    </xf>
    <xf numFmtId="166" fontId="22" fillId="0" borderId="3" xfId="0" applyNumberFormat="1" applyFont="1" applyFill="1" applyBorder="1"/>
    <xf numFmtId="10" fontId="22" fillId="0" borderId="15" xfId="0" applyNumberFormat="1" applyFont="1" applyFill="1" applyBorder="1"/>
    <xf numFmtId="10" fontId="22" fillId="0" borderId="12" xfId="0" applyNumberFormat="1" applyFont="1" applyFill="1" applyBorder="1"/>
    <xf numFmtId="0" fontId="26" fillId="0" borderId="0" xfId="0" applyFont="1" applyFill="1"/>
    <xf numFmtId="43" fontId="22" fillId="0" borderId="0" xfId="0" applyNumberFormat="1" applyFont="1" applyFill="1"/>
    <xf numFmtId="0" fontId="19" fillId="0" borderId="0" xfId="0" applyFont="1" applyFill="1" applyBorder="1" applyAlignment="1">
      <alignment horizontal="centerContinuous" vertical="center"/>
    </xf>
    <xf numFmtId="0" fontId="27" fillId="0" borderId="20" xfId="0" quotePrefix="1" applyNumberFormat="1" applyFont="1" applyFill="1" applyBorder="1" applyAlignment="1"/>
    <xf numFmtId="0" fontId="28" fillId="0" borderId="20" xfId="0" quotePrefix="1" applyNumberFormat="1" applyFont="1" applyFill="1" applyBorder="1" applyAlignment="1"/>
    <xf numFmtId="0" fontId="28" fillId="0" borderId="20" xfId="0" quotePrefix="1" applyNumberFormat="1" applyFont="1" applyFill="1" applyBorder="1" applyAlignment="1">
      <alignment wrapText="1"/>
    </xf>
    <xf numFmtId="0" fontId="1" fillId="0" borderId="0" xfId="0" applyFont="1" applyFill="1"/>
    <xf numFmtId="0" fontId="28" fillId="0" borderId="20" xfId="0" quotePrefix="1" applyNumberFormat="1" applyFont="1" applyFill="1" applyBorder="1" applyAlignment="1">
      <alignment horizontal="right"/>
    </xf>
    <xf numFmtId="175" fontId="28" fillId="0" borderId="20" xfId="0" quotePrefix="1" applyNumberFormat="1" applyFont="1" applyFill="1" applyBorder="1" applyAlignment="1"/>
    <xf numFmtId="0" fontId="28" fillId="0" borderId="20" xfId="0" quotePrefix="1" applyNumberFormat="1" applyFont="1" applyFill="1" applyBorder="1" applyAlignment="1"/>
    <xf numFmtId="176" fontId="28" fillId="0" borderId="25" xfId="0" applyNumberFormat="1" applyFont="1" applyFill="1" applyBorder="1" applyAlignment="1">
      <alignment horizontal="right" vertical="center"/>
    </xf>
    <xf numFmtId="176" fontId="28" fillId="0" borderId="26" xfId="0" applyNumberFormat="1" applyFont="1" applyFill="1" applyBorder="1" applyAlignment="1">
      <alignment horizontal="right" vertical="center"/>
    </xf>
    <xf numFmtId="177" fontId="28" fillId="0" borderId="20" xfId="0" quotePrefix="1" applyNumberFormat="1" applyFont="1" applyFill="1" applyBorder="1" applyAlignment="1"/>
    <xf numFmtId="0" fontId="28" fillId="0" borderId="20" xfId="0" quotePrefix="1" applyNumberFormat="1" applyFont="1" applyFill="1" applyBorder="1" applyAlignment="1"/>
    <xf numFmtId="178" fontId="28" fillId="0" borderId="20" xfId="0" quotePrefix="1" applyNumberFormat="1" applyFont="1" applyFill="1" applyBorder="1" applyAlignment="1"/>
    <xf numFmtId="0" fontId="28" fillId="0" borderId="20" xfId="0" quotePrefix="1" applyNumberFormat="1" applyFont="1" applyFill="1" applyBorder="1" applyAlignment="1"/>
    <xf numFmtId="179" fontId="28" fillId="0" borderId="20" xfId="0" quotePrefix="1" applyNumberFormat="1" applyFont="1" applyFill="1" applyBorder="1" applyAlignment="1"/>
    <xf numFmtId="0" fontId="28" fillId="0" borderId="20" xfId="0" quotePrefix="1" applyNumberFormat="1" applyFont="1" applyFill="1" applyBorder="1" applyAlignment="1"/>
    <xf numFmtId="169" fontId="28" fillId="0" borderId="19" xfId="0" quotePrefix="1" applyNumberFormat="1" applyFont="1" applyFill="1" applyBorder="1" applyAlignment="1"/>
    <xf numFmtId="0" fontId="28" fillId="0" borderId="27" xfId="0" quotePrefix="1" applyNumberFormat="1" applyFont="1" applyFill="1" applyBorder="1" applyAlignment="1"/>
    <xf numFmtId="180" fontId="28" fillId="0" borderId="19" xfId="0" quotePrefix="1" applyNumberFormat="1" applyFont="1" applyFill="1" applyBorder="1" applyAlignment="1"/>
    <xf numFmtId="170" fontId="28" fillId="0" borderId="19" xfId="0" quotePrefix="1" applyNumberFormat="1" applyFont="1" applyFill="1" applyBorder="1" applyAlignment="1"/>
    <xf numFmtId="171" fontId="28" fillId="0" borderId="20" xfId="0" quotePrefix="1" applyNumberFormat="1" applyFont="1" applyFill="1" applyBorder="1" applyAlignment="1"/>
    <xf numFmtId="176" fontId="28" fillId="0" borderId="28" xfId="0" applyNumberFormat="1" applyFont="1" applyFill="1" applyBorder="1" applyAlignment="1">
      <alignment horizontal="right" vertical="center"/>
    </xf>
    <xf numFmtId="176" fontId="28" fillId="0" borderId="29" xfId="0" applyNumberFormat="1" applyFont="1" applyFill="1" applyBorder="1" applyAlignment="1">
      <alignment horizontal="right" vertical="center"/>
    </xf>
    <xf numFmtId="0" fontId="17" fillId="0" borderId="18" xfId="0" quotePrefix="1" applyFont="1" applyFill="1" applyBorder="1" applyAlignment="1">
      <alignment horizontal="left" vertical="center" indent="1"/>
    </xf>
    <xf numFmtId="173" fontId="17" fillId="0" borderId="18" xfId="0" applyNumberFormat="1" applyFont="1" applyFill="1" applyBorder="1" applyAlignment="1">
      <alignment horizontal="right" vertical="center"/>
    </xf>
    <xf numFmtId="172" fontId="17" fillId="0" borderId="18" xfId="0" applyNumberFormat="1" applyFont="1" applyFill="1" applyBorder="1" applyAlignment="1">
      <alignment horizontal="right" vertical="center"/>
    </xf>
    <xf numFmtId="166" fontId="1" fillId="0" borderId="0" xfId="0" applyNumberFormat="1" applyFont="1" applyFill="1"/>
    <xf numFmtId="43" fontId="1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.05%20Allocation%20Method%20CBR%20Dec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ead"/>
      <sheetName val="Allocations"/>
      <sheetName val="E &amp; G RB"/>
      <sheetName val="2017 GRC WC Det Format"/>
      <sheetName val="2019 March IS "/>
      <sheetName val="SAP DL Downld"/>
      <sheetName val="Meter count Updated"/>
      <sheetName val="Electric"/>
      <sheetName val="Gas"/>
      <sheetName val="Combined-2019"/>
      <sheetName val="DLReconBBS"/>
      <sheetName val="Elect. Customer Counts Pg 10a  "/>
      <sheetName val="Gas Customer Counts Pg 10b"/>
    </sheetNames>
    <sheetDataSet>
      <sheetData sheetId="0">
        <row r="9">
          <cell r="E9">
            <v>0.58079999999999998</v>
          </cell>
          <cell r="F9">
            <v>0.41920000000000002</v>
          </cell>
        </row>
        <row r="12">
          <cell r="E12">
            <v>0.626</v>
          </cell>
          <cell r="F12">
            <v>0.374</v>
          </cell>
        </row>
        <row r="19">
          <cell r="E19">
            <v>0.60089999999999999</v>
          </cell>
          <cell r="F19">
            <v>0.39910000000000001</v>
          </cell>
        </row>
        <row r="35">
          <cell r="E35">
            <v>0.66349999999999998</v>
          </cell>
          <cell r="F35">
            <v>0.33650000000000002</v>
          </cell>
        </row>
        <row r="40">
          <cell r="E40">
            <v>0.69820000000000004</v>
          </cell>
          <cell r="F40">
            <v>0.30180000000000001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5.bin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8.bin"/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0.bin"/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1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3.bin"/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15.bin"/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3"/>
  <sheetViews>
    <sheetView tabSelected="1" workbookViewId="0">
      <pane xSplit="1" ySplit="7" topLeftCell="B26" activePane="bottomRight" state="frozen"/>
      <selection activeCell="D74" sqref="D74"/>
      <selection pane="topRight" activeCell="D74" sqref="D74"/>
      <selection pane="bottomLeft" activeCell="D74" sqref="D74"/>
      <selection pane="bottomRight" activeCell="D16" sqref="D16"/>
    </sheetView>
  </sheetViews>
  <sheetFormatPr defaultColWidth="9.109375" defaultRowHeight="14.4" x14ac:dyDescent="0.3"/>
  <cols>
    <col min="1" max="1" width="55.5546875" style="4" customWidth="1"/>
    <col min="2" max="2" width="15" style="4" customWidth="1"/>
    <col min="3" max="4" width="15" style="4" bestFit="1" customWidth="1"/>
    <col min="5" max="16384" width="9.109375" style="4"/>
  </cols>
  <sheetData>
    <row r="1" spans="1:4" x14ac:dyDescent="0.3">
      <c r="A1" s="36" t="s">
        <v>349</v>
      </c>
      <c r="B1" s="35"/>
      <c r="C1" s="35"/>
      <c r="D1" s="35"/>
    </row>
    <row r="2" spans="1:4" x14ac:dyDescent="0.3">
      <c r="A2" s="36" t="s">
        <v>348</v>
      </c>
      <c r="B2" s="35"/>
      <c r="C2" s="35"/>
      <c r="D2" s="35"/>
    </row>
    <row r="3" spans="1:4" x14ac:dyDescent="0.3">
      <c r="A3" s="36" t="s">
        <v>927</v>
      </c>
      <c r="B3" s="36"/>
      <c r="C3" s="36"/>
      <c r="D3" s="36"/>
    </row>
    <row r="4" spans="1:4" x14ac:dyDescent="0.3">
      <c r="A4" s="149" t="s">
        <v>947</v>
      </c>
      <c r="B4" s="35"/>
      <c r="C4" s="35"/>
      <c r="D4" s="35"/>
    </row>
    <row r="5" spans="1:4" x14ac:dyDescent="0.3">
      <c r="B5" s="134"/>
      <c r="C5" s="134"/>
      <c r="D5" s="134"/>
    </row>
    <row r="6" spans="1:4" x14ac:dyDescent="0.3">
      <c r="A6" s="135"/>
      <c r="B6" s="135"/>
      <c r="C6" s="135"/>
      <c r="D6" s="135"/>
    </row>
    <row r="7" spans="1:4" x14ac:dyDescent="0.3">
      <c r="A7" s="2"/>
      <c r="B7" s="34" t="s">
        <v>34</v>
      </c>
      <c r="C7" s="33" t="s">
        <v>33</v>
      </c>
      <c r="D7" s="32" t="s">
        <v>347</v>
      </c>
    </row>
    <row r="8" spans="1:4" x14ac:dyDescent="0.3">
      <c r="A8" s="30" t="s">
        <v>346</v>
      </c>
      <c r="B8" s="29"/>
      <c r="C8" s="29"/>
      <c r="D8" s="6"/>
    </row>
    <row r="9" spans="1:4" x14ac:dyDescent="0.3">
      <c r="A9" s="22" t="s">
        <v>31</v>
      </c>
      <c r="B9" s="24">
        <f>'Unallocated Detail (CBR)'!G18</f>
        <v>2127052953.75</v>
      </c>
      <c r="C9" s="24">
        <f>'Unallocated Detail (CBR)'!H18</f>
        <v>885869830.97000003</v>
      </c>
      <c r="D9" s="15">
        <f>SUM(B9:C9)</f>
        <v>3012922784.7200003</v>
      </c>
    </row>
    <row r="10" spans="1:4" x14ac:dyDescent="0.3">
      <c r="A10" s="22" t="s">
        <v>30</v>
      </c>
      <c r="B10" s="28">
        <f>'Unallocated Detail (CBR)'!G21</f>
        <v>351395.68</v>
      </c>
      <c r="C10" s="28">
        <f>'Unallocated Detail (CBR)'!H21</f>
        <v>0</v>
      </c>
      <c r="D10" s="6">
        <f>SUM(B10:C10)</f>
        <v>351395.68</v>
      </c>
    </row>
    <row r="11" spans="1:4" x14ac:dyDescent="0.3">
      <c r="A11" s="22" t="s">
        <v>29</v>
      </c>
      <c r="B11" s="28">
        <f>'Unallocated Detail (CBR)'!G25</f>
        <v>196946670</v>
      </c>
      <c r="C11" s="28">
        <f>'Unallocated Detail (CBR)'!H25</f>
        <v>0</v>
      </c>
      <c r="D11" s="6">
        <f>SUM(B11:C11)</f>
        <v>196946670</v>
      </c>
    </row>
    <row r="12" spans="1:4" x14ac:dyDescent="0.3">
      <c r="A12" s="22" t="s">
        <v>28</v>
      </c>
      <c r="B12" s="27">
        <f>'Unallocated Detail (CBR)'!G40</f>
        <v>191910864.75999999</v>
      </c>
      <c r="C12" s="26">
        <f>'Unallocated Detail (CBR)'!H40</f>
        <v>-10499138.549999999</v>
      </c>
      <c r="D12" s="31">
        <f>SUM(B12:C12)</f>
        <v>181411726.20999998</v>
      </c>
    </row>
    <row r="13" spans="1:4" x14ac:dyDescent="0.3">
      <c r="A13" s="22" t="s">
        <v>27</v>
      </c>
      <c r="B13" s="16">
        <f>SUM(B9:B12)</f>
        <v>2516261884.1900005</v>
      </c>
      <c r="C13" s="16">
        <f>SUM(C9:C12)</f>
        <v>875370692.42000008</v>
      </c>
      <c r="D13" s="15">
        <f>SUM(D9:D12)</f>
        <v>3391632576.6100001</v>
      </c>
    </row>
    <row r="14" spans="1:4" x14ac:dyDescent="0.3">
      <c r="A14" s="30" t="s">
        <v>345</v>
      </c>
      <c r="B14" s="29"/>
      <c r="C14" s="29"/>
      <c r="D14" s="6"/>
    </row>
    <row r="15" spans="1:4" x14ac:dyDescent="0.3">
      <c r="A15" s="30" t="s">
        <v>344</v>
      </c>
      <c r="B15" s="29"/>
      <c r="C15" s="29"/>
      <c r="D15" s="6"/>
    </row>
    <row r="16" spans="1:4" x14ac:dyDescent="0.3">
      <c r="A16" s="30" t="s">
        <v>343</v>
      </c>
      <c r="B16" s="29"/>
      <c r="C16" s="29"/>
      <c r="D16" s="6"/>
    </row>
    <row r="17" spans="1:4" x14ac:dyDescent="0.3">
      <c r="A17" s="30" t="s">
        <v>342</v>
      </c>
      <c r="B17" s="29"/>
      <c r="C17" s="29"/>
      <c r="D17" s="6"/>
    </row>
    <row r="18" spans="1:4" x14ac:dyDescent="0.3">
      <c r="A18" s="22" t="s">
        <v>26</v>
      </c>
      <c r="B18" s="24">
        <f>'Unallocated Detail (CBR)'!G47</f>
        <v>282863835.76999998</v>
      </c>
      <c r="C18" s="24">
        <f>'Unallocated Detail (CBR)'!H47</f>
        <v>0</v>
      </c>
      <c r="D18" s="15">
        <f>B18+C18</f>
        <v>282863835.76999998</v>
      </c>
    </row>
    <row r="19" spans="1:4" x14ac:dyDescent="0.3">
      <c r="A19" s="22" t="s">
        <v>25</v>
      </c>
      <c r="B19" s="28">
        <f>'Unallocated Detail (CBR)'!G56</f>
        <v>617085015.54000008</v>
      </c>
      <c r="C19" s="28">
        <f>'Unallocated Detail (CBR)'!H56</f>
        <v>290975876.38999999</v>
      </c>
      <c r="D19" s="23">
        <f>B19+C19</f>
        <v>908060891.93000007</v>
      </c>
    </row>
    <row r="20" spans="1:4" x14ac:dyDescent="0.3">
      <c r="A20" s="22" t="s">
        <v>24</v>
      </c>
      <c r="B20" s="28">
        <f>'Unallocated Detail (CBR)'!G59</f>
        <v>121674523.33</v>
      </c>
      <c r="C20" s="28">
        <f>'Unallocated Detail (CBR)'!H59</f>
        <v>0</v>
      </c>
      <c r="D20" s="23">
        <f>B20+C20</f>
        <v>121674523.33</v>
      </c>
    </row>
    <row r="21" spans="1:4" x14ac:dyDescent="0.3">
      <c r="A21" s="22" t="s">
        <v>23</v>
      </c>
      <c r="B21" s="27">
        <f>'Unallocated Detail (CBR)'!G62</f>
        <v>-79186637.340000004</v>
      </c>
      <c r="C21" s="26">
        <f>'Unallocated Detail (CBR)'!H62</f>
        <v>0</v>
      </c>
      <c r="D21" s="25">
        <f>B21+C21</f>
        <v>-79186637.340000004</v>
      </c>
    </row>
    <row r="22" spans="1:4" x14ac:dyDescent="0.3">
      <c r="A22" s="22" t="s">
        <v>22</v>
      </c>
      <c r="B22" s="16">
        <f>SUM(B18:B21)</f>
        <v>942436737.30000007</v>
      </c>
      <c r="C22" s="16">
        <f>SUM(C18:C21)</f>
        <v>290975876.38999999</v>
      </c>
      <c r="D22" s="15">
        <f>SUM(D18:D21)</f>
        <v>1233412613.6900001</v>
      </c>
    </row>
    <row r="23" spans="1:4" x14ac:dyDescent="0.3">
      <c r="A23" s="17" t="s">
        <v>341</v>
      </c>
      <c r="B23" s="13"/>
      <c r="C23" s="13"/>
      <c r="D23" s="12"/>
    </row>
    <row r="24" spans="1:4" x14ac:dyDescent="0.3">
      <c r="A24" s="22" t="s">
        <v>21</v>
      </c>
      <c r="B24" s="24">
        <f>'Unallocated Detail (CBR)'!G138</f>
        <v>124385512.12999998</v>
      </c>
      <c r="C24" s="77">
        <f>'Unallocated Detail (CBR)'!H138</f>
        <v>6350033.2799999984</v>
      </c>
      <c r="D24" s="15">
        <f t="shared" ref="D24:D38" si="0">B24+C24</f>
        <v>130735545.40999998</v>
      </c>
    </row>
    <row r="25" spans="1:4" x14ac:dyDescent="0.3">
      <c r="A25" s="22" t="s">
        <v>20</v>
      </c>
      <c r="B25" s="21">
        <f>'Unallocated Detail (CBR)'!G168</f>
        <v>24120987.529999997</v>
      </c>
      <c r="C25" s="21">
        <f>'Unallocated Detail (CBR)'!H168</f>
        <v>0</v>
      </c>
      <c r="D25" s="23">
        <f t="shared" si="0"/>
        <v>24120987.529999997</v>
      </c>
    </row>
    <row r="26" spans="1:4" x14ac:dyDescent="0.3">
      <c r="A26" s="22" t="s">
        <v>19</v>
      </c>
      <c r="B26" s="21">
        <f>'Unallocated Detail (CBR)'!G206</f>
        <v>80879041.140000001</v>
      </c>
      <c r="C26" s="21">
        <f>'Unallocated Detail (CBR)'!H206</f>
        <v>56478736.410000011</v>
      </c>
      <c r="D26" s="23">
        <f t="shared" si="0"/>
        <v>137357777.55000001</v>
      </c>
    </row>
    <row r="27" spans="1:4" x14ac:dyDescent="0.3">
      <c r="A27" s="22" t="s">
        <v>18</v>
      </c>
      <c r="B27" s="21">
        <f>'Unallocated Detail (CBR)'!G213</f>
        <v>50623674.690000005</v>
      </c>
      <c r="C27" s="21">
        <f>'Unallocated Detail (CBR)'!H213</f>
        <v>28956684.010000002</v>
      </c>
      <c r="D27" s="23">
        <f t="shared" si="0"/>
        <v>79580358.700000003</v>
      </c>
    </row>
    <row r="28" spans="1:4" x14ac:dyDescent="0.3">
      <c r="A28" s="22" t="s">
        <v>17</v>
      </c>
      <c r="B28" s="21">
        <f>'Unallocated Detail (CBR)'!G222</f>
        <v>22165912.629999999</v>
      </c>
      <c r="C28" s="21">
        <f>'Unallocated Detail (CBR)'!H222</f>
        <v>6358463.0099999998</v>
      </c>
      <c r="D28" s="23">
        <f t="shared" si="0"/>
        <v>28524375.640000001</v>
      </c>
    </row>
    <row r="29" spans="1:4" x14ac:dyDescent="0.3">
      <c r="A29" s="22" t="s">
        <v>16</v>
      </c>
      <c r="B29" s="21">
        <f>'Unallocated Detail (CBR)'!G225</f>
        <v>80695343.090000004</v>
      </c>
      <c r="C29" s="21">
        <f>'Unallocated Detail (CBR)'!H225</f>
        <v>15875501.359999999</v>
      </c>
      <c r="D29" s="23">
        <f t="shared" si="0"/>
        <v>96570844.450000003</v>
      </c>
    </row>
    <row r="30" spans="1:4" x14ac:dyDescent="0.3">
      <c r="A30" s="22" t="s">
        <v>15</v>
      </c>
      <c r="B30" s="21">
        <f>'Unallocated Detail (CBR)'!G240</f>
        <v>131332686.69000001</v>
      </c>
      <c r="C30" s="21">
        <f>'Unallocated Detail (CBR)'!H240</f>
        <v>58034052</v>
      </c>
      <c r="D30" s="23">
        <f t="shared" si="0"/>
        <v>189366738.69</v>
      </c>
    </row>
    <row r="31" spans="1:4" x14ac:dyDescent="0.3">
      <c r="A31" s="22" t="s">
        <v>14</v>
      </c>
      <c r="B31" s="21">
        <f>'Unallocated Detail (CBR)'!G247</f>
        <v>353307306.82000005</v>
      </c>
      <c r="C31" s="21">
        <f>'Unallocated Detail (CBR)'!H247</f>
        <v>125009648.60000001</v>
      </c>
      <c r="D31" s="23">
        <f t="shared" si="0"/>
        <v>478316955.42000008</v>
      </c>
    </row>
    <row r="32" spans="1:4" x14ac:dyDescent="0.3">
      <c r="A32" s="22" t="s">
        <v>13</v>
      </c>
      <c r="B32" s="21">
        <f>'Unallocated Detail (CBR)'!G252</f>
        <v>98825617.909999996</v>
      </c>
      <c r="C32" s="21">
        <f>'Unallocated Detail (CBR)'!H252</f>
        <v>37784048.030000001</v>
      </c>
      <c r="D32" s="23">
        <f t="shared" si="0"/>
        <v>136609665.94</v>
      </c>
    </row>
    <row r="33" spans="1:4" x14ac:dyDescent="0.3">
      <c r="A33" s="22" t="s">
        <v>12</v>
      </c>
      <c r="B33" s="21">
        <f>'Unallocated Detail (CBR)'!G255</f>
        <v>31893438.41</v>
      </c>
      <c r="C33" s="21">
        <f>'Unallocated Detail (CBR)'!H255</f>
        <v>0</v>
      </c>
      <c r="D33" s="23">
        <f t="shared" si="0"/>
        <v>31893438.41</v>
      </c>
    </row>
    <row r="34" spans="1:4" x14ac:dyDescent="0.3">
      <c r="A34" s="14" t="s">
        <v>11</v>
      </c>
      <c r="B34" s="21">
        <f>'Unallocated Detail (CBR)'!G263</f>
        <v>-56706537.07</v>
      </c>
      <c r="C34" s="21">
        <f>'Unallocated Detail (CBR)'!H263</f>
        <v>-2515849.7700000019</v>
      </c>
      <c r="D34" s="20">
        <f t="shared" si="0"/>
        <v>-59222386.840000004</v>
      </c>
    </row>
    <row r="35" spans="1:4" x14ac:dyDescent="0.3">
      <c r="A35" s="22" t="s">
        <v>340</v>
      </c>
      <c r="B35" s="21">
        <f>'Unallocated Detail (CBR)'!G267</f>
        <v>3574274.1599999992</v>
      </c>
      <c r="C35" s="21">
        <f>'Unallocated Detail (CBR)'!H267</f>
        <v>0</v>
      </c>
      <c r="D35" s="20">
        <f t="shared" si="0"/>
        <v>3574274.1599999992</v>
      </c>
    </row>
    <row r="36" spans="1:4" x14ac:dyDescent="0.3">
      <c r="A36" s="14" t="s">
        <v>10</v>
      </c>
      <c r="B36" s="21">
        <f>'Unallocated Detail (CBR)'!G272</f>
        <v>232459734.66999999</v>
      </c>
      <c r="C36" s="21">
        <f>'Unallocated Detail (CBR)'!H272</f>
        <v>99109176.200000003</v>
      </c>
      <c r="D36" s="20">
        <f t="shared" si="0"/>
        <v>331568910.87</v>
      </c>
    </row>
    <row r="37" spans="1:4" x14ac:dyDescent="0.3">
      <c r="A37" s="14" t="s">
        <v>9</v>
      </c>
      <c r="B37" s="21">
        <f>'Unallocated Detail (CBR)'!G277</f>
        <v>31409079.400000002</v>
      </c>
      <c r="C37" s="21">
        <f>'Unallocated Detail (CBR)'!H277</f>
        <v>33388225.969999999</v>
      </c>
      <c r="D37" s="20">
        <f t="shared" si="0"/>
        <v>64797305.370000005</v>
      </c>
    </row>
    <row r="38" spans="1:4" x14ac:dyDescent="0.3">
      <c r="A38" s="14" t="s">
        <v>8</v>
      </c>
      <c r="B38" s="19">
        <f>'Unallocated Detail (CBR)'!G282</f>
        <v>28520415.180000007</v>
      </c>
      <c r="C38" s="19">
        <f>'Unallocated Detail (CBR)'!H282</f>
        <v>-6381211.9799999967</v>
      </c>
      <c r="D38" s="18">
        <f t="shared" si="0"/>
        <v>22139203.20000001</v>
      </c>
    </row>
    <row r="39" spans="1:4" x14ac:dyDescent="0.3">
      <c r="A39" s="17" t="s">
        <v>7</v>
      </c>
      <c r="B39" s="16">
        <f>SUM(B22:B38)</f>
        <v>2179923224.6800008</v>
      </c>
      <c r="C39" s="16">
        <f>SUM(C22:C38)</f>
        <v>749423383.50999999</v>
      </c>
      <c r="D39" s="15">
        <f>SUM(D22:D38)</f>
        <v>2929346608.1899996</v>
      </c>
    </row>
    <row r="40" spans="1:4" x14ac:dyDescent="0.3">
      <c r="A40" s="14"/>
      <c r="B40" s="13"/>
      <c r="C40" s="13"/>
      <c r="D40" s="12"/>
    </row>
    <row r="41" spans="1:4" ht="17.399999999999999" x14ac:dyDescent="0.55000000000000004">
      <c r="A41" s="11" t="s">
        <v>6</v>
      </c>
      <c r="B41" s="10">
        <f>B13-B39</f>
        <v>336338659.50999975</v>
      </c>
      <c r="C41" s="10">
        <f>C13-C39</f>
        <v>125947308.91000009</v>
      </c>
      <c r="D41" s="9">
        <f>D13-D39</f>
        <v>462285968.42000055</v>
      </c>
    </row>
    <row r="42" spans="1:4" x14ac:dyDescent="0.3">
      <c r="A42" s="8"/>
      <c r="B42" s="7"/>
      <c r="C42" s="7"/>
      <c r="D42" s="6"/>
    </row>
    <row r="43" spans="1:4" x14ac:dyDescent="0.3">
      <c r="A43" s="140"/>
      <c r="B43" s="37"/>
      <c r="C43" s="37"/>
      <c r="D43" s="5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zoomScaleNormal="100" workbookViewId="0">
      <pane xSplit="1" ySplit="6" topLeftCell="C190" activePane="bottomRight" state="frozen"/>
      <selection activeCell="D74" sqref="D74"/>
      <selection pane="topRight" activeCell="D74" sqref="D74"/>
      <selection pane="bottomLeft" activeCell="D74" sqref="D74"/>
      <selection pane="bottomRight" activeCell="K208" sqref="K208"/>
    </sheetView>
  </sheetViews>
  <sheetFormatPr defaultColWidth="9.109375" defaultRowHeight="14.4" outlineLevelCol="1" x14ac:dyDescent="0.3"/>
  <cols>
    <col min="1" max="1" width="58.109375" style="38" bestFit="1" customWidth="1"/>
    <col min="2" max="2" width="16.6640625" style="38" customWidth="1"/>
    <col min="3" max="3" width="13.109375" style="38" bestFit="1" customWidth="1"/>
    <col min="4" max="4" width="13.6640625" style="38" bestFit="1" customWidth="1"/>
    <col min="5" max="5" width="13.6640625" style="38" customWidth="1" outlineLevel="1"/>
    <col min="6" max="6" width="13.33203125" style="38" customWidth="1" outlineLevel="1"/>
    <col min="7" max="7" width="14.6640625" style="38" customWidth="1" outlineLevel="1"/>
    <col min="8" max="8" width="12.44140625" style="38" customWidth="1" outlineLevel="1"/>
    <col min="9" max="9" width="17.33203125" style="38" customWidth="1"/>
    <col min="10" max="10" width="33.5546875" style="110" bestFit="1" customWidth="1"/>
    <col min="11" max="11" width="15.6640625" style="38" bestFit="1" customWidth="1"/>
    <col min="12" max="12" width="14.5546875" style="38" customWidth="1"/>
    <col min="13" max="16384" width="9.109375" style="38"/>
  </cols>
  <sheetData>
    <row r="1" spans="1:12" x14ac:dyDescent="0.3">
      <c r="A1" s="63" t="s">
        <v>349</v>
      </c>
      <c r="B1" s="63"/>
      <c r="C1" s="63"/>
      <c r="D1" s="63"/>
      <c r="E1" s="63"/>
      <c r="F1" s="63"/>
      <c r="G1" s="63"/>
      <c r="H1" s="63"/>
      <c r="I1" s="63"/>
      <c r="J1" s="150"/>
    </row>
    <row r="2" spans="1:12" x14ac:dyDescent="0.3">
      <c r="A2" s="63" t="s">
        <v>358</v>
      </c>
      <c r="B2" s="63"/>
      <c r="C2" s="63"/>
      <c r="D2" s="63"/>
      <c r="E2" s="63"/>
      <c r="F2" s="63"/>
      <c r="G2" s="63"/>
      <c r="H2" s="63"/>
      <c r="I2" s="63"/>
      <c r="J2" s="150"/>
    </row>
    <row r="3" spans="1:12" x14ac:dyDescent="0.3">
      <c r="A3" s="151" t="str">
        <f>+'Allocated (CBR)'!A3</f>
        <v>FOR THE YEAR ENDED DECEMBER 31, 2019</v>
      </c>
      <c r="B3" s="63"/>
      <c r="C3" s="63"/>
      <c r="D3" s="63"/>
      <c r="E3" s="63"/>
      <c r="F3" s="63"/>
      <c r="G3" s="63"/>
      <c r="H3" s="63"/>
      <c r="I3" s="63"/>
      <c r="J3" s="150"/>
    </row>
    <row r="4" spans="1:12" x14ac:dyDescent="0.3">
      <c r="A4" s="132"/>
      <c r="B4" s="132"/>
      <c r="C4" s="132"/>
      <c r="D4" s="132"/>
      <c r="E4" s="132"/>
      <c r="F4" s="132"/>
      <c r="G4" s="132"/>
      <c r="H4" s="132"/>
      <c r="I4" s="132"/>
      <c r="J4" s="152"/>
    </row>
    <row r="5" spans="1:12" x14ac:dyDescent="0.3">
      <c r="A5" s="132"/>
      <c r="B5" s="132"/>
      <c r="C5" s="132"/>
      <c r="D5" s="132"/>
      <c r="E5" s="132"/>
      <c r="F5" s="132"/>
      <c r="G5" s="132"/>
      <c r="H5" s="132"/>
      <c r="I5" s="132"/>
      <c r="J5" s="107" t="s">
        <v>859</v>
      </c>
      <c r="K5" s="38" t="s">
        <v>909</v>
      </c>
      <c r="L5" s="38" t="s">
        <v>910</v>
      </c>
    </row>
    <row r="6" spans="1:12" x14ac:dyDescent="0.3">
      <c r="A6" s="58" t="s">
        <v>357</v>
      </c>
      <c r="B6" s="57" t="s">
        <v>34</v>
      </c>
      <c r="C6" s="57" t="s">
        <v>356</v>
      </c>
      <c r="D6" s="57" t="s">
        <v>35</v>
      </c>
      <c r="E6" s="57" t="s">
        <v>355</v>
      </c>
      <c r="F6" s="57" t="s">
        <v>354</v>
      </c>
      <c r="G6" s="57" t="s">
        <v>353</v>
      </c>
      <c r="H6" s="57" t="s">
        <v>352</v>
      </c>
      <c r="I6" s="57" t="s">
        <v>338</v>
      </c>
      <c r="K6" s="143" t="s">
        <v>948</v>
      </c>
      <c r="L6" s="143" t="s">
        <v>948</v>
      </c>
    </row>
    <row r="7" spans="1:12" x14ac:dyDescent="0.3">
      <c r="A7" s="153"/>
      <c r="B7" s="154"/>
      <c r="C7" s="154"/>
      <c r="D7" s="154"/>
      <c r="E7" s="154"/>
      <c r="F7" s="154"/>
      <c r="G7" s="154"/>
      <c r="H7" s="154"/>
      <c r="I7" s="154"/>
      <c r="J7" s="155">
        <v>0</v>
      </c>
    </row>
    <row r="8" spans="1:12" x14ac:dyDescent="0.3">
      <c r="A8" s="156"/>
      <c r="B8" s="157">
        <v>0</v>
      </c>
      <c r="C8" s="157">
        <v>0</v>
      </c>
      <c r="D8" s="157">
        <v>0</v>
      </c>
      <c r="E8" s="157">
        <v>0</v>
      </c>
      <c r="F8" s="157">
        <v>0</v>
      </c>
      <c r="G8" s="157">
        <v>0</v>
      </c>
      <c r="H8" s="157">
        <v>0</v>
      </c>
      <c r="I8" s="157">
        <v>0</v>
      </c>
    </row>
    <row r="9" spans="1:12" x14ac:dyDescent="0.3">
      <c r="A9" s="158"/>
      <c r="B9" s="158"/>
      <c r="C9" s="158"/>
      <c r="D9" s="158"/>
      <c r="E9" s="158"/>
      <c r="F9" s="158"/>
      <c r="G9" s="158"/>
      <c r="H9" s="158"/>
      <c r="I9" s="158"/>
    </row>
    <row r="10" spans="1:12" x14ac:dyDescent="0.3">
      <c r="A10" s="108" t="s">
        <v>36</v>
      </c>
      <c r="B10" s="159"/>
      <c r="C10" s="159"/>
      <c r="D10" s="159"/>
      <c r="E10" s="159"/>
      <c r="F10" s="159"/>
      <c r="G10" s="159"/>
      <c r="H10" s="159"/>
      <c r="I10" s="159"/>
    </row>
    <row r="11" spans="1:12" x14ac:dyDescent="0.3">
      <c r="A11" s="59" t="s">
        <v>37</v>
      </c>
      <c r="B11" s="160"/>
      <c r="C11" s="160"/>
      <c r="D11" s="160"/>
      <c r="E11" s="160"/>
      <c r="F11" s="160"/>
      <c r="G11" s="160"/>
      <c r="H11" s="160"/>
      <c r="I11" s="160"/>
    </row>
    <row r="12" spans="1:12" x14ac:dyDescent="0.3">
      <c r="A12" s="109" t="s">
        <v>38</v>
      </c>
      <c r="B12" s="161">
        <f>-IF(ISNA(VLOOKUP($J12,FM!$A:$J,3,FALSE)),0,VLOOKUP($J12,FM!$A:$J,3,FALSE))</f>
        <v>1139356243.2</v>
      </c>
      <c r="C12" s="161">
        <f>-IF(ISNA(VLOOKUP($J12,FM!$A:$J,4,FALSE)),0,VLOOKUP($J12,FM!$A:$J,4,FALSE))</f>
        <v>0</v>
      </c>
      <c r="D12" s="161">
        <f>-IF(ISNA(VLOOKUP($J12,FM!$A:$J,5,FALSE)),0,VLOOKUP($J12,FM!$A:$J,5,FALSE))</f>
        <v>0</v>
      </c>
      <c r="E12" s="161">
        <f>-IF(ISNA(VLOOKUP($J12,FM!$A:$J,6,FALSE)),0,VLOOKUP($J12,FM!$A:$J,6,FALSE))</f>
        <v>0</v>
      </c>
      <c r="F12" s="161">
        <f>-IF(ISNA(VLOOKUP($J12,FM!$A:$J,7,FALSE)),0,VLOOKUP($J12,FM!$A:$J,7,FALSE))</f>
        <v>0</v>
      </c>
      <c r="G12" s="161">
        <f>B12+E12</f>
        <v>1139356243.2</v>
      </c>
      <c r="H12" s="161">
        <f>C12+F12</f>
        <v>0</v>
      </c>
      <c r="I12" s="161">
        <f>SUM(G12:H12)</f>
        <v>1139356243.2</v>
      </c>
      <c r="J12" s="162" t="s">
        <v>429</v>
      </c>
    </row>
    <row r="13" spans="1:12" x14ac:dyDescent="0.3">
      <c r="A13" s="109" t="s">
        <v>39</v>
      </c>
      <c r="B13" s="60">
        <f>-IF(ISNA(VLOOKUP($J13,FM!$A:$J,3,FALSE)),0,VLOOKUP($J13,FM!$A:$J,3,FALSE))</f>
        <v>969640041.50999999</v>
      </c>
      <c r="C13" s="60">
        <f>-IF(ISNA(VLOOKUP($J13,FM!$A:$J,4,FALSE)),0,VLOOKUP($J13,FM!$A:$J,4,FALSE))</f>
        <v>0</v>
      </c>
      <c r="D13" s="60">
        <f>-IF(ISNA(VLOOKUP($J13,FM!$A:$J,5,FALSE)),0,VLOOKUP($J13,FM!$A:$J,5,FALSE))</f>
        <v>0</v>
      </c>
      <c r="E13" s="60">
        <f>-IF(ISNA(VLOOKUP($J13,FM!$A:$J,6,FALSE)),0,VLOOKUP($J13,FM!$A:$J,6,FALSE))</f>
        <v>0</v>
      </c>
      <c r="F13" s="60">
        <f>-IF(ISNA(VLOOKUP($J13,FM!$A:$J,7,FALSE)),0,VLOOKUP($J13,FM!$A:$J,7,FALSE))</f>
        <v>0</v>
      </c>
      <c r="G13" s="60">
        <f t="shared" ref="G13:H17" si="0">B13+E13</f>
        <v>969640041.50999999</v>
      </c>
      <c r="H13" s="60">
        <f t="shared" si="0"/>
        <v>0</v>
      </c>
      <c r="I13" s="60">
        <f t="shared" ref="I13:I17" si="1">SUM(G13:H13)</f>
        <v>969640041.50999999</v>
      </c>
      <c r="J13" s="162" t="s">
        <v>431</v>
      </c>
    </row>
    <row r="14" spans="1:12" x14ac:dyDescent="0.3">
      <c r="A14" s="109" t="s">
        <v>40</v>
      </c>
      <c r="B14" s="60">
        <f>-IF(ISNA(VLOOKUP($J14,FM!$A:$J,3,FALSE)),0,VLOOKUP($J14,FM!$A:$J,3,FALSE))</f>
        <v>18056669.039999999</v>
      </c>
      <c r="C14" s="60">
        <f>-IF(ISNA(VLOOKUP($J14,FM!$A:$J,4,FALSE)),0,VLOOKUP($J14,FM!$A:$J,4,FALSE))</f>
        <v>0</v>
      </c>
      <c r="D14" s="60">
        <f>-IF(ISNA(VLOOKUP($J14,FM!$A:$J,5,FALSE)),0,VLOOKUP($J14,FM!$A:$J,5,FALSE))</f>
        <v>0</v>
      </c>
      <c r="E14" s="60">
        <f>-IF(ISNA(VLOOKUP($J14,FM!$A:$J,6,FALSE)),0,VLOOKUP($J14,FM!$A:$J,6,FALSE))</f>
        <v>0</v>
      </c>
      <c r="F14" s="60">
        <f>-IF(ISNA(VLOOKUP($J14,FM!$A:$J,7,FALSE)),0,VLOOKUP($J14,FM!$A:$J,7,FALSE))</f>
        <v>0</v>
      </c>
      <c r="G14" s="60">
        <f t="shared" si="0"/>
        <v>18056669.039999999</v>
      </c>
      <c r="H14" s="60">
        <f t="shared" si="0"/>
        <v>0</v>
      </c>
      <c r="I14" s="60">
        <f t="shared" si="1"/>
        <v>18056669.039999999</v>
      </c>
      <c r="J14" s="162" t="s">
        <v>433</v>
      </c>
    </row>
    <row r="15" spans="1:12" x14ac:dyDescent="0.3">
      <c r="A15" s="109" t="s">
        <v>41</v>
      </c>
      <c r="B15" s="60">
        <f>-IF(ISNA(VLOOKUP($J15,FM!$A:$J,3,FALSE)),0,VLOOKUP($J15,FM!$A:$J,3,FALSE))</f>
        <v>0</v>
      </c>
      <c r="C15" s="60">
        <f>-IF(ISNA(VLOOKUP($J15,FM!$A:$J,4,FALSE)),0,VLOOKUP($J15,FM!$A:$J,4,FALSE))</f>
        <v>613618715.99000001</v>
      </c>
      <c r="D15" s="60">
        <f>-IF(ISNA(VLOOKUP($J15,FM!$A:$J,5,FALSE)),0,VLOOKUP($J15,FM!$A:$J,5,FALSE))</f>
        <v>0</v>
      </c>
      <c r="E15" s="60">
        <f>-IF(ISNA(VLOOKUP($J15,FM!$A:$J,6,FALSE)),0,VLOOKUP($J15,FM!$A:$J,6,FALSE))</f>
        <v>0</v>
      </c>
      <c r="F15" s="60">
        <f>-IF(ISNA(VLOOKUP($J15,FM!$A:$J,7,FALSE)),0,VLOOKUP($J15,FM!$A:$J,7,FALSE))</f>
        <v>0</v>
      </c>
      <c r="G15" s="60">
        <f t="shared" si="0"/>
        <v>0</v>
      </c>
      <c r="H15" s="60">
        <f t="shared" si="0"/>
        <v>613618715.99000001</v>
      </c>
      <c r="I15" s="60">
        <f t="shared" si="1"/>
        <v>613618715.99000001</v>
      </c>
      <c r="J15" s="162" t="s">
        <v>435</v>
      </c>
    </row>
    <row r="16" spans="1:12" x14ac:dyDescent="0.3">
      <c r="A16" s="109" t="s">
        <v>42</v>
      </c>
      <c r="B16" s="60">
        <f>-IF(ISNA(VLOOKUP($J16,FM!$A:$J,3,FALSE)),0,VLOOKUP($J16,FM!$A:$J,3,FALSE))</f>
        <v>0</v>
      </c>
      <c r="C16" s="60">
        <f>-IF(ISNA(VLOOKUP($J16,FM!$A:$J,4,FALSE)),0,VLOOKUP($J16,FM!$A:$J,4,FALSE))</f>
        <v>252380360.41</v>
      </c>
      <c r="D16" s="60">
        <f>-IF(ISNA(VLOOKUP($J16,FM!$A:$J,5,FALSE)),0,VLOOKUP($J16,FM!$A:$J,5,FALSE))</f>
        <v>0</v>
      </c>
      <c r="E16" s="60">
        <f>-IF(ISNA(VLOOKUP($J16,FM!$A:$J,6,FALSE)),0,VLOOKUP($J16,FM!$A:$J,6,FALSE))</f>
        <v>0</v>
      </c>
      <c r="F16" s="60">
        <f>-IF(ISNA(VLOOKUP($J16,FM!$A:$J,7,FALSE)),0,VLOOKUP($J16,FM!$A:$J,7,FALSE))</f>
        <v>0</v>
      </c>
      <c r="G16" s="60">
        <f t="shared" si="0"/>
        <v>0</v>
      </c>
      <c r="H16" s="60">
        <f t="shared" si="0"/>
        <v>252380360.41</v>
      </c>
      <c r="I16" s="60">
        <f t="shared" si="1"/>
        <v>252380360.41</v>
      </c>
      <c r="J16" s="162" t="s">
        <v>437</v>
      </c>
    </row>
    <row r="17" spans="1:11" x14ac:dyDescent="0.3">
      <c r="A17" s="109" t="s">
        <v>43</v>
      </c>
      <c r="B17" s="163">
        <f>-IF(ISNA(VLOOKUP($J17,FM!$A:$J,3,FALSE)),0,VLOOKUP($J17,FM!$A:$J,3,FALSE))</f>
        <v>0</v>
      </c>
      <c r="C17" s="163">
        <f>-IF(ISNA(VLOOKUP($J17,FM!$A:$J,4,FALSE)),0,VLOOKUP($J17,FM!$A:$J,4,FALSE))</f>
        <v>19870754.57</v>
      </c>
      <c r="D17" s="163">
        <f>-IF(ISNA(VLOOKUP($J17,FM!$A:$J,5,FALSE)),0,VLOOKUP($J17,FM!$A:$J,5,FALSE))</f>
        <v>0</v>
      </c>
      <c r="E17" s="163">
        <f>-IF(ISNA(VLOOKUP($J17,FM!$A:$J,6,FALSE)),0,VLOOKUP($J17,FM!$A:$J,6,FALSE))</f>
        <v>0</v>
      </c>
      <c r="F17" s="163">
        <f>-IF(ISNA(VLOOKUP($J17,FM!$A:$J,7,FALSE)),0,VLOOKUP($J17,FM!$A:$J,7,FALSE))</f>
        <v>0</v>
      </c>
      <c r="G17" s="163">
        <f t="shared" si="0"/>
        <v>0</v>
      </c>
      <c r="H17" s="163">
        <f t="shared" si="0"/>
        <v>19870754.57</v>
      </c>
      <c r="I17" s="163">
        <f t="shared" si="1"/>
        <v>19870754.57</v>
      </c>
      <c r="J17" s="162" t="s">
        <v>439</v>
      </c>
    </row>
    <row r="18" spans="1:11" x14ac:dyDescent="0.3">
      <c r="A18" s="109" t="s">
        <v>44</v>
      </c>
      <c r="B18" s="60">
        <f>SUM(B12:B17)</f>
        <v>2127052953.75</v>
      </c>
      <c r="C18" s="60">
        <f t="shared" ref="C18:I18" si="2">SUM(C12:C17)</f>
        <v>885869830.97000003</v>
      </c>
      <c r="D18" s="60">
        <f t="shared" si="2"/>
        <v>0</v>
      </c>
      <c r="E18" s="60">
        <f t="shared" si="2"/>
        <v>0</v>
      </c>
      <c r="F18" s="60">
        <f t="shared" si="2"/>
        <v>0</v>
      </c>
      <c r="G18" s="60">
        <f t="shared" si="2"/>
        <v>2127052953.75</v>
      </c>
      <c r="H18" s="60">
        <f t="shared" si="2"/>
        <v>885869830.97000003</v>
      </c>
      <c r="I18" s="60">
        <f t="shared" si="2"/>
        <v>3012922784.7199998</v>
      </c>
      <c r="J18" s="164" t="s">
        <v>427</v>
      </c>
    </row>
    <row r="19" spans="1:11" x14ac:dyDescent="0.3">
      <c r="A19" s="59" t="s">
        <v>45</v>
      </c>
      <c r="B19" s="160"/>
      <c r="C19" s="160"/>
      <c r="D19" s="160"/>
      <c r="E19" s="160"/>
      <c r="F19" s="160"/>
      <c r="G19" s="160"/>
      <c r="H19" s="160"/>
      <c r="I19" s="160"/>
      <c r="J19" s="59"/>
    </row>
    <row r="20" spans="1:11" x14ac:dyDescent="0.3">
      <c r="A20" s="109" t="s">
        <v>46</v>
      </c>
      <c r="B20" s="163">
        <f>-IF(ISNA(VLOOKUP($J20,FM!$A:$J,3,FALSE)),0,VLOOKUP($J20,FM!$A:$J,3,FALSE))</f>
        <v>351395.68</v>
      </c>
      <c r="C20" s="163">
        <f>-IF(ISNA(VLOOKUP($J20,FM!$A:$J,4,FALSE)),0,VLOOKUP($J20,FM!$A:$J,4,FALSE))</f>
        <v>0</v>
      </c>
      <c r="D20" s="163">
        <f>-IF(ISNA(VLOOKUP($J20,FM!$A:$J,5,FALSE)),0,VLOOKUP($J20,FM!$A:$J,5,FALSE))</f>
        <v>0</v>
      </c>
      <c r="E20" s="163">
        <f>-IF(ISNA(VLOOKUP($J20,FM!$A:$J,6,FALSE)),0,VLOOKUP($J20,FM!$A:$J,6,FALSE))</f>
        <v>0</v>
      </c>
      <c r="F20" s="163">
        <f>-IF(ISNA(VLOOKUP($J20,FM!$A:$J,7,FALSE)),0,VLOOKUP($J20,FM!$A:$J,7,FALSE))</f>
        <v>0</v>
      </c>
      <c r="G20" s="163">
        <f>B20+E20</f>
        <v>351395.68</v>
      </c>
      <c r="H20" s="163">
        <f>C20+F20</f>
        <v>0</v>
      </c>
      <c r="I20" s="163">
        <f>SUM(G20:H20)</f>
        <v>351395.68</v>
      </c>
      <c r="J20" s="162" t="s">
        <v>443</v>
      </c>
    </row>
    <row r="21" spans="1:11" x14ac:dyDescent="0.3">
      <c r="A21" s="109" t="s">
        <v>47</v>
      </c>
      <c r="B21" s="60">
        <f>SUM(B20)</f>
        <v>351395.68</v>
      </c>
      <c r="C21" s="60">
        <f t="shared" ref="C21:I21" si="3">SUM(C20)</f>
        <v>0</v>
      </c>
      <c r="D21" s="60">
        <f t="shared" si="3"/>
        <v>0</v>
      </c>
      <c r="E21" s="60">
        <f t="shared" si="3"/>
        <v>0</v>
      </c>
      <c r="F21" s="60">
        <f t="shared" si="3"/>
        <v>0</v>
      </c>
      <c r="G21" s="60">
        <f t="shared" si="3"/>
        <v>351395.68</v>
      </c>
      <c r="H21" s="60">
        <f t="shared" si="3"/>
        <v>0</v>
      </c>
      <c r="I21" s="60">
        <f t="shared" si="3"/>
        <v>351395.68</v>
      </c>
      <c r="J21" s="164" t="s">
        <v>441</v>
      </c>
    </row>
    <row r="22" spans="1:11" x14ac:dyDescent="0.3">
      <c r="A22" s="59" t="s">
        <v>48</v>
      </c>
      <c r="B22" s="160"/>
      <c r="C22" s="160"/>
      <c r="D22" s="160"/>
      <c r="E22" s="160"/>
      <c r="F22" s="160"/>
      <c r="G22" s="160"/>
      <c r="H22" s="160"/>
      <c r="I22" s="160"/>
      <c r="J22" s="59"/>
    </row>
    <row r="23" spans="1:11" x14ac:dyDescent="0.3">
      <c r="A23" s="109" t="s">
        <v>49</v>
      </c>
      <c r="B23" s="60">
        <f>-IF(ISNA(VLOOKUP($J23,FM!$A:$J,3,FALSE)),0,VLOOKUP($J23,FM!$A:$J,3,FALSE))</f>
        <v>109103898.91</v>
      </c>
      <c r="C23" s="60">
        <f>-IF(ISNA(VLOOKUP($J23,FM!$A:$J,4,FALSE)),0,VLOOKUP($J23,FM!$A:$J,4,FALSE))</f>
        <v>0</v>
      </c>
      <c r="D23" s="60">
        <f>-IF(ISNA(VLOOKUP($J23,FM!$A:$J,5,FALSE)),0,VLOOKUP($J23,FM!$A:$J,5,FALSE))</f>
        <v>0</v>
      </c>
      <c r="E23" s="60">
        <f>-IF(ISNA(VLOOKUP($J23,FM!$A:$J,6,FALSE)),0,VLOOKUP($J23,FM!$A:$J,6,FALSE))</f>
        <v>0</v>
      </c>
      <c r="F23" s="60">
        <f>-IF(ISNA(VLOOKUP($J23,FM!$A:$J,7,FALSE)),0,VLOOKUP($J23,FM!$A:$J,7,FALSE))</f>
        <v>0</v>
      </c>
      <c r="G23" s="60">
        <f>B23+E23</f>
        <v>109103898.91</v>
      </c>
      <c r="H23" s="60">
        <f>C23+F23</f>
        <v>0</v>
      </c>
      <c r="I23" s="60">
        <f t="shared" ref="I23:I24" si="4">SUM(G23:H23)</f>
        <v>109103898.91</v>
      </c>
      <c r="J23" s="162" t="s">
        <v>447</v>
      </c>
      <c r="K23" s="165"/>
    </row>
    <row r="24" spans="1:11" x14ac:dyDescent="0.3">
      <c r="A24" s="109" t="s">
        <v>50</v>
      </c>
      <c r="B24" s="163">
        <f>-IF(ISNA(VLOOKUP($J24,FM!$A:$J,3,FALSE)),0,VLOOKUP($J24,FM!$A:$J,3,FALSE))</f>
        <v>87842771.090000004</v>
      </c>
      <c r="C24" s="163">
        <f>-IF(ISNA(VLOOKUP($J24,FM!$A:$J,4,FALSE)),0,VLOOKUP($J24,FM!$A:$J,4,FALSE))</f>
        <v>0</v>
      </c>
      <c r="D24" s="163">
        <f>-IF(ISNA(VLOOKUP($J24,FM!$A:$J,5,FALSE)),0,VLOOKUP($J24,FM!$A:$J,5,FALSE))</f>
        <v>0</v>
      </c>
      <c r="E24" s="163">
        <f>-IF(ISNA(VLOOKUP($J24,FM!$A:$J,6,FALSE)),0,VLOOKUP($J24,FM!$A:$J,6,FALSE))</f>
        <v>0</v>
      </c>
      <c r="F24" s="163">
        <f>-IF(ISNA(VLOOKUP($J24,FM!$A:$J,7,FALSE)),0,VLOOKUP($J24,FM!$A:$J,7,FALSE))</f>
        <v>0</v>
      </c>
      <c r="G24" s="163">
        <f>B24+E24</f>
        <v>87842771.090000004</v>
      </c>
      <c r="H24" s="163">
        <f>C24+F24</f>
        <v>0</v>
      </c>
      <c r="I24" s="163">
        <f t="shared" si="4"/>
        <v>87842771.090000004</v>
      </c>
      <c r="J24" s="162" t="s">
        <v>449</v>
      </c>
    </row>
    <row r="25" spans="1:11" x14ac:dyDescent="0.3">
      <c r="A25" s="109" t="s">
        <v>51</v>
      </c>
      <c r="B25" s="60">
        <f>SUM(B23:B24)</f>
        <v>196946670</v>
      </c>
      <c r="C25" s="60">
        <f t="shared" ref="C25:I25" si="5">SUM(C23:C24)</f>
        <v>0</v>
      </c>
      <c r="D25" s="60">
        <f t="shared" si="5"/>
        <v>0</v>
      </c>
      <c r="E25" s="60">
        <f t="shared" si="5"/>
        <v>0</v>
      </c>
      <c r="F25" s="60">
        <f t="shared" si="5"/>
        <v>0</v>
      </c>
      <c r="G25" s="60">
        <f t="shared" si="5"/>
        <v>196946670</v>
      </c>
      <c r="H25" s="60">
        <f t="shared" si="5"/>
        <v>0</v>
      </c>
      <c r="I25" s="60">
        <f t="shared" si="5"/>
        <v>196946670</v>
      </c>
      <c r="J25" s="164" t="s">
        <v>445</v>
      </c>
    </row>
    <row r="26" spans="1:11" x14ac:dyDescent="0.3">
      <c r="A26" s="59" t="s">
        <v>52</v>
      </c>
      <c r="B26" s="160"/>
      <c r="C26" s="160"/>
      <c r="D26" s="160"/>
      <c r="E26" s="160"/>
      <c r="F26" s="160"/>
      <c r="G26" s="160"/>
      <c r="H26" s="160"/>
      <c r="I26" s="160"/>
      <c r="J26" s="59"/>
    </row>
    <row r="27" spans="1:11" x14ac:dyDescent="0.3">
      <c r="A27" s="109" t="s">
        <v>53</v>
      </c>
      <c r="B27" s="60">
        <f>-IF(ISNA(VLOOKUP($J27,FM!$A:$J,3,FALSE)),0,VLOOKUP($J27,FM!$A:$J,3,FALSE))</f>
        <v>0</v>
      </c>
      <c r="C27" s="60">
        <f>-IF(ISNA(VLOOKUP($J27,FM!$A:$J,4,FALSE)),0,VLOOKUP($J27,FM!$A:$J,4,FALSE))</f>
        <v>0</v>
      </c>
      <c r="D27" s="60">
        <f>-IF(ISNA(VLOOKUP($J27,FM!$A:$J,5,FALSE)),0,VLOOKUP($J27,FM!$A:$J,5,FALSE))</f>
        <v>0</v>
      </c>
      <c r="E27" s="60">
        <f>-IF(ISNA(VLOOKUP($J27,FM!$A:$J,6,FALSE)),0,VLOOKUP($J27,FM!$A:$J,6,FALSE))</f>
        <v>0</v>
      </c>
      <c r="F27" s="60">
        <f>-IF(ISNA(VLOOKUP($J27,FM!$A:$J,7,FALSE)),0,VLOOKUP($J27,FM!$A:$J,7,FALSE))</f>
        <v>0</v>
      </c>
      <c r="G27" s="60">
        <f>B27+E27</f>
        <v>0</v>
      </c>
      <c r="H27" s="60">
        <f>C27+F27</f>
        <v>0</v>
      </c>
      <c r="I27" s="60">
        <f t="shared" ref="I27:I39" si="6">SUM(G27:H27)</f>
        <v>0</v>
      </c>
      <c r="J27" s="162" t="s">
        <v>860</v>
      </c>
    </row>
    <row r="28" spans="1:11" x14ac:dyDescent="0.3">
      <c r="A28" s="109" t="s">
        <v>412</v>
      </c>
      <c r="B28" s="60">
        <f>-IF(ISNA(VLOOKUP($J28,FM!$A:$J,3,FALSE)),0,VLOOKUP($J28,FM!$A:$J,3,FALSE))</f>
        <v>14827618.74</v>
      </c>
      <c r="C28" s="60">
        <f>-IF(ISNA(VLOOKUP($J28,FM!$A:$J,4,FALSE)),0,VLOOKUP($J28,FM!$A:$J,4,FALSE))</f>
        <v>0</v>
      </c>
      <c r="D28" s="60">
        <f>-IF(ISNA(VLOOKUP($J28,FM!$A:$J,5,FALSE)),0,VLOOKUP($J28,FM!$A:$J,5,FALSE))</f>
        <v>0</v>
      </c>
      <c r="E28" s="60">
        <f>-IF(ISNA(VLOOKUP($J28,FM!$A:$J,6,FALSE)),0,VLOOKUP($J28,FM!$A:$J,6,FALSE))</f>
        <v>0</v>
      </c>
      <c r="F28" s="60">
        <f>-IF(ISNA(VLOOKUP($J28,FM!$A:$J,7,FALSE)),0,VLOOKUP($J28,FM!$A:$J,7,FALSE))</f>
        <v>0</v>
      </c>
      <c r="G28" s="60">
        <f>B28+E28</f>
        <v>14827618.74</v>
      </c>
      <c r="H28" s="60">
        <f>C28+F28</f>
        <v>0</v>
      </c>
      <c r="I28" s="60">
        <f t="shared" si="6"/>
        <v>14827618.74</v>
      </c>
      <c r="J28" s="162" t="s">
        <v>861</v>
      </c>
    </row>
    <row r="29" spans="1:11" ht="13.95" customHeight="1" x14ac:dyDescent="0.3">
      <c r="A29" s="109" t="s">
        <v>54</v>
      </c>
      <c r="B29" s="60">
        <f>-IF(ISNA(VLOOKUP($J29,FM!$A:$J,3,FALSE)),0,VLOOKUP($J29,FM!$A:$J,3,FALSE))</f>
        <v>2128525.79</v>
      </c>
      <c r="C29" s="60">
        <f>-IF(ISNA(VLOOKUP($J29,FM!$A:$J,4,FALSE)),0,VLOOKUP($J29,FM!$A:$J,4,FALSE))</f>
        <v>0</v>
      </c>
      <c r="D29" s="60">
        <f>-IF(ISNA(VLOOKUP($J29,FM!$A:$J,5,FALSE)),0,VLOOKUP($J29,FM!$A:$J,5,FALSE))</f>
        <v>0</v>
      </c>
      <c r="E29" s="60">
        <f>-IF(ISNA(VLOOKUP($J29,FM!$A:$J,6,FALSE)),0,VLOOKUP($J29,FM!$A:$J,6,FALSE))</f>
        <v>0</v>
      </c>
      <c r="F29" s="60">
        <f>-IF(ISNA(VLOOKUP($J29,FM!$A:$J,7,FALSE)),0,VLOOKUP($J29,FM!$A:$J,7,FALSE))</f>
        <v>0</v>
      </c>
      <c r="G29" s="60">
        <f t="shared" ref="G29:H39" si="7">B29+E29</f>
        <v>2128525.79</v>
      </c>
      <c r="H29" s="60">
        <f t="shared" si="7"/>
        <v>0</v>
      </c>
      <c r="I29" s="60">
        <f t="shared" si="6"/>
        <v>2128525.79</v>
      </c>
      <c r="J29" s="162" t="s">
        <v>453</v>
      </c>
    </row>
    <row r="30" spans="1:11" x14ac:dyDescent="0.3">
      <c r="A30" s="109" t="s">
        <v>55</v>
      </c>
      <c r="B30" s="60">
        <f>-IF(ISNA(VLOOKUP($J30,FM!$A:$J,3,FALSE)),0,VLOOKUP($J30,FM!$A:$J,3,FALSE))</f>
        <v>11894207.08</v>
      </c>
      <c r="C30" s="60">
        <f>-IF(ISNA(VLOOKUP($J30,FM!$A:$J,4,FALSE)),0,VLOOKUP($J30,FM!$A:$J,4,FALSE))</f>
        <v>0</v>
      </c>
      <c r="D30" s="60">
        <f>-IF(ISNA(VLOOKUP($J30,FM!$A:$J,5,FALSE)),0,VLOOKUP($J30,FM!$A:$J,5,FALSE))</f>
        <v>0</v>
      </c>
      <c r="E30" s="60">
        <f>-IF(ISNA(VLOOKUP($J30,FM!$A:$J,6,FALSE)),0,VLOOKUP($J30,FM!$A:$J,6,FALSE))</f>
        <v>0</v>
      </c>
      <c r="F30" s="60">
        <f>-IF(ISNA(VLOOKUP($J30,FM!$A:$J,7,FALSE)),0,VLOOKUP($J30,FM!$A:$J,7,FALSE))</f>
        <v>0</v>
      </c>
      <c r="G30" s="60">
        <f t="shared" si="7"/>
        <v>11894207.08</v>
      </c>
      <c r="H30" s="60">
        <f>C30+F30</f>
        <v>0</v>
      </c>
      <c r="I30" s="60">
        <f t="shared" si="6"/>
        <v>11894207.08</v>
      </c>
      <c r="J30" s="162" t="s">
        <v>455</v>
      </c>
    </row>
    <row r="31" spans="1:11" x14ac:dyDescent="0.3">
      <c r="A31" s="109" t="s">
        <v>56</v>
      </c>
      <c r="B31" s="60">
        <f>-IF(ISNA(VLOOKUP($J31,FM!$A:$J,3,FALSE)),0,VLOOKUP($J31,FM!$A:$J,3,FALSE))</f>
        <v>17462762.780000001</v>
      </c>
      <c r="C31" s="60">
        <f>-IF(ISNA(VLOOKUP($J31,FM!$A:$J,4,FALSE)),0,VLOOKUP($J31,FM!$A:$J,4,FALSE))</f>
        <v>0</v>
      </c>
      <c r="D31" s="60">
        <f>-IF(ISNA(VLOOKUP($J31,FM!$A:$J,5,FALSE)),0,VLOOKUP($J31,FM!$A:$J,5,FALSE))</f>
        <v>0</v>
      </c>
      <c r="E31" s="60">
        <f>-IF(ISNA(VLOOKUP($J31,FM!$A:$J,6,FALSE)),0,VLOOKUP($J31,FM!$A:$J,6,FALSE))</f>
        <v>0</v>
      </c>
      <c r="F31" s="60">
        <f>-IF(ISNA(VLOOKUP($J31,FM!$A:$J,7,FALSE)),0,VLOOKUP($J31,FM!$A:$J,7,FALSE))</f>
        <v>0</v>
      </c>
      <c r="G31" s="60">
        <f t="shared" si="7"/>
        <v>17462762.780000001</v>
      </c>
      <c r="H31" s="60">
        <f t="shared" si="7"/>
        <v>0</v>
      </c>
      <c r="I31" s="60">
        <f t="shared" si="6"/>
        <v>17462762.780000001</v>
      </c>
      <c r="J31" s="162" t="s">
        <v>457</v>
      </c>
    </row>
    <row r="32" spans="1:11" x14ac:dyDescent="0.3">
      <c r="A32" s="109" t="s">
        <v>413</v>
      </c>
      <c r="B32" s="60">
        <f>-IF(ISNA(VLOOKUP($J32,FM!$A:$J,3,FALSE)),0,VLOOKUP($J32,FM!$A:$J,3,FALSE))</f>
        <v>117042183.94</v>
      </c>
      <c r="C32" s="60">
        <f>-IF(ISNA(VLOOKUP($J32,FM!$A:$J,4,FALSE)),0,VLOOKUP($J32,FM!$A:$J,4,FALSE))</f>
        <v>0</v>
      </c>
      <c r="D32" s="60">
        <f>-IF(ISNA(VLOOKUP($J32,FM!$A:$J,5,FALSE)),0,VLOOKUP($J32,FM!$A:$J,5,FALSE))</f>
        <v>0</v>
      </c>
      <c r="E32" s="60">
        <f>-IF(ISNA(VLOOKUP($J32,FM!$A:$J,6,FALSE)),0,VLOOKUP($J32,FM!$A:$J,6,FALSE))</f>
        <v>0</v>
      </c>
      <c r="F32" s="60">
        <f>-IF(ISNA(VLOOKUP($J32,FM!$A:$J,7,FALSE)),0,VLOOKUP($J32,FM!$A:$J,7,FALSE))</f>
        <v>0</v>
      </c>
      <c r="G32" s="60">
        <f t="shared" si="7"/>
        <v>117042183.94</v>
      </c>
      <c r="H32" s="60">
        <f t="shared" si="7"/>
        <v>0</v>
      </c>
      <c r="I32" s="60">
        <f t="shared" si="6"/>
        <v>117042183.94</v>
      </c>
      <c r="J32" s="162" t="s">
        <v>461</v>
      </c>
    </row>
    <row r="33" spans="1:11" x14ac:dyDescent="0.3">
      <c r="A33" s="109" t="s">
        <v>414</v>
      </c>
      <c r="B33" s="60">
        <f>-IF(ISNA(VLOOKUP($J33,FM!$A:$J,3,FALSE)),0,VLOOKUP($J33,FM!$A:$J,3,FALSE))</f>
        <v>28555566.43</v>
      </c>
      <c r="C33" s="60">
        <f>-IF(ISNA(VLOOKUP($J33,FM!$A:$J,4,FALSE)),0,VLOOKUP($J33,FM!$A:$J,4,FALSE))</f>
        <v>0</v>
      </c>
      <c r="D33" s="60">
        <f>-IF(ISNA(VLOOKUP($J33,FM!$A:$J,5,FALSE)),0,VLOOKUP($J33,FM!$A:$J,5,FALSE))</f>
        <v>0</v>
      </c>
      <c r="E33" s="60">
        <f>-IF(ISNA(VLOOKUP($J33,FM!$A:$J,6,FALSE)),0,VLOOKUP($J33,FM!$A:$J,6,FALSE))</f>
        <v>0</v>
      </c>
      <c r="F33" s="60">
        <f>-IF(ISNA(VLOOKUP($J33,FM!$A:$J,7,FALSE)),0,VLOOKUP($J33,FM!$A:$J,7,FALSE))</f>
        <v>0</v>
      </c>
      <c r="G33" s="60">
        <f t="shared" si="7"/>
        <v>28555566.43</v>
      </c>
      <c r="H33" s="60">
        <f t="shared" si="7"/>
        <v>0</v>
      </c>
      <c r="I33" s="60">
        <f t="shared" si="6"/>
        <v>28555566.43</v>
      </c>
      <c r="J33" s="162" t="s">
        <v>459</v>
      </c>
    </row>
    <row r="34" spans="1:11" x14ac:dyDescent="0.3">
      <c r="A34" s="109" t="s">
        <v>57</v>
      </c>
      <c r="B34" s="60">
        <f>-IF(ISNA(VLOOKUP($J34,FM!$A:$J,3,FALSE)),0,VLOOKUP($J34,FM!$A:$J,3,FALSE))</f>
        <v>0</v>
      </c>
      <c r="C34" s="60">
        <f>-IF(ISNA(VLOOKUP($J34,FM!$A:$J,4,FALSE)),0,VLOOKUP($J34,FM!$A:$J,4,FALSE))</f>
        <v>766929.76</v>
      </c>
      <c r="D34" s="60">
        <f>-IF(ISNA(VLOOKUP($J34,FM!$A:$J,5,FALSE)),0,VLOOKUP($J34,FM!$A:$J,5,FALSE))</f>
        <v>0</v>
      </c>
      <c r="E34" s="60">
        <f>-IF(ISNA(VLOOKUP($J34,FM!$A:$J,6,FALSE)),0,VLOOKUP($J34,FM!$A:$J,6,FALSE))</f>
        <v>0</v>
      </c>
      <c r="F34" s="60">
        <f>-IF(ISNA(VLOOKUP($J34,FM!$A:$J,7,FALSE)),0,VLOOKUP($J34,FM!$A:$J,7,FALSE))</f>
        <v>0</v>
      </c>
      <c r="G34" s="60">
        <f t="shared" si="7"/>
        <v>0</v>
      </c>
      <c r="H34" s="60">
        <f t="shared" si="7"/>
        <v>766929.76</v>
      </c>
      <c r="I34" s="60">
        <f t="shared" si="6"/>
        <v>766929.76</v>
      </c>
      <c r="J34" s="162" t="s">
        <v>463</v>
      </c>
    </row>
    <row r="35" spans="1:11" x14ac:dyDescent="0.3">
      <c r="A35" s="109" t="s">
        <v>58</v>
      </c>
      <c r="B35" s="60">
        <f>-IF(ISNA(VLOOKUP($J35,FM!$A:$J,3,FALSE)),0,VLOOKUP($J35,FM!$A:$J,3,FALSE))</f>
        <v>0</v>
      </c>
      <c r="C35" s="60">
        <f>-IF(ISNA(VLOOKUP($J35,FM!$A:$J,4,FALSE)),0,VLOOKUP($J35,FM!$A:$J,4,FALSE))</f>
        <v>3533375.12</v>
      </c>
      <c r="D35" s="60">
        <f>-IF(ISNA(VLOOKUP($J35,FM!$A:$J,5,FALSE)),0,VLOOKUP($J35,FM!$A:$J,5,FALSE))</f>
        <v>0</v>
      </c>
      <c r="E35" s="60">
        <f>-IF(ISNA(VLOOKUP($J35,FM!$A:$J,6,FALSE)),0,VLOOKUP($J35,FM!$A:$J,6,FALSE))</f>
        <v>0</v>
      </c>
      <c r="F35" s="60">
        <f>-IF(ISNA(VLOOKUP($J35,FM!$A:$J,7,FALSE)),0,VLOOKUP($J35,FM!$A:$J,7,FALSE))</f>
        <v>0</v>
      </c>
      <c r="G35" s="60">
        <f t="shared" si="7"/>
        <v>0</v>
      </c>
      <c r="H35" s="60">
        <f t="shared" si="7"/>
        <v>3533375.12</v>
      </c>
      <c r="I35" s="60">
        <f t="shared" si="6"/>
        <v>3533375.12</v>
      </c>
      <c r="J35" s="162" t="s">
        <v>465</v>
      </c>
    </row>
    <row r="36" spans="1:11" x14ac:dyDescent="0.3">
      <c r="A36" s="109" t="s">
        <v>59</v>
      </c>
      <c r="B36" s="60">
        <f>-IF(ISNA(VLOOKUP($J36,FM!$A:$J,3,FALSE)),0,VLOOKUP($J36,FM!$A:$J,3,FALSE))</f>
        <v>0</v>
      </c>
      <c r="C36" s="60">
        <f>-IF(ISNA(VLOOKUP($J36,FM!$A:$J,4,FALSE)),0,VLOOKUP($J36,FM!$A:$J,4,FALSE))</f>
        <v>1359584.25</v>
      </c>
      <c r="D36" s="60">
        <f>-IF(ISNA(VLOOKUP($J36,FM!$A:$J,5,FALSE)),0,VLOOKUP($J36,FM!$A:$J,5,FALSE))</f>
        <v>0</v>
      </c>
      <c r="E36" s="60">
        <f>-IF(ISNA(VLOOKUP($J36,FM!$A:$J,6,FALSE)),0,VLOOKUP($J36,FM!$A:$J,6,FALSE))</f>
        <v>0</v>
      </c>
      <c r="F36" s="60">
        <f>-IF(ISNA(VLOOKUP($J36,FM!$A:$J,7,FALSE)),0,VLOOKUP($J36,FM!$A:$J,7,FALSE))</f>
        <v>0</v>
      </c>
      <c r="G36" s="60">
        <f t="shared" si="7"/>
        <v>0</v>
      </c>
      <c r="H36" s="60">
        <f t="shared" si="7"/>
        <v>1359584.25</v>
      </c>
      <c r="I36" s="60">
        <f t="shared" si="6"/>
        <v>1359584.25</v>
      </c>
      <c r="J36" s="162" t="s">
        <v>467</v>
      </c>
    </row>
    <row r="37" spans="1:11" x14ac:dyDescent="0.3">
      <c r="A37" s="109" t="s">
        <v>60</v>
      </c>
      <c r="B37" s="60">
        <f>-IF(ISNA(VLOOKUP($J37,FM!$A:$J,3,FALSE)),0,VLOOKUP($J37,FM!$A:$J,3,FALSE))</f>
        <v>0</v>
      </c>
      <c r="C37" s="60">
        <f>-IF(ISNA(VLOOKUP($J37,FM!$A:$J,4,FALSE)),0,VLOOKUP($J37,FM!$A:$J,4,FALSE))</f>
        <v>5512529.3300000001</v>
      </c>
      <c r="D37" s="60">
        <f>-IF(ISNA(VLOOKUP($J37,FM!$A:$J,5,FALSE)),0,VLOOKUP($J37,FM!$A:$J,5,FALSE))</f>
        <v>0</v>
      </c>
      <c r="E37" s="60">
        <f>-IF(ISNA(VLOOKUP($J37,FM!$A:$J,6,FALSE)),0,VLOOKUP($J37,FM!$A:$J,6,FALSE))</f>
        <v>0</v>
      </c>
      <c r="F37" s="60">
        <f>-IF(ISNA(VLOOKUP($J37,FM!$A:$J,7,FALSE)),0,VLOOKUP($J37,FM!$A:$J,7,FALSE))</f>
        <v>0</v>
      </c>
      <c r="G37" s="60">
        <f t="shared" si="7"/>
        <v>0</v>
      </c>
      <c r="H37" s="60">
        <f t="shared" si="7"/>
        <v>5512529.3300000001</v>
      </c>
      <c r="I37" s="60">
        <f t="shared" si="6"/>
        <v>5512529.3300000001</v>
      </c>
      <c r="J37" s="162" t="s">
        <v>469</v>
      </c>
    </row>
    <row r="38" spans="1:11" x14ac:dyDescent="0.3">
      <c r="A38" s="109" t="s">
        <v>61</v>
      </c>
      <c r="B38" s="60">
        <f>-IF(ISNA(VLOOKUP($J38,FM!$A:$J,3,FALSE)),0,VLOOKUP($J38,FM!$A:$J,3,FALSE))</f>
        <v>0</v>
      </c>
      <c r="C38" s="60">
        <f>-IF(ISNA(VLOOKUP($J38,FM!$A:$J,4,FALSE)),0,VLOOKUP($J38,FM!$A:$J,4,FALSE))</f>
        <v>-26541288.91</v>
      </c>
      <c r="D38" s="60">
        <f>-IF(ISNA(VLOOKUP($J38,FM!$A:$J,5,FALSE)),0,VLOOKUP($J38,FM!$A:$J,5,FALSE))</f>
        <v>0</v>
      </c>
      <c r="E38" s="60">
        <f>-IF(ISNA(VLOOKUP($J38,FM!$A:$J,6,FALSE)),0,VLOOKUP($J38,FM!$A:$J,6,FALSE))</f>
        <v>0</v>
      </c>
      <c r="F38" s="60">
        <f>-IF(ISNA(VLOOKUP($J38,FM!$A:$J,7,FALSE)),0,VLOOKUP($J38,FM!$A:$J,7,FALSE))</f>
        <v>0</v>
      </c>
      <c r="G38" s="60">
        <f t="shared" si="7"/>
        <v>0</v>
      </c>
      <c r="H38" s="60">
        <f t="shared" si="7"/>
        <v>-26541288.91</v>
      </c>
      <c r="I38" s="60">
        <f t="shared" si="6"/>
        <v>-26541288.91</v>
      </c>
      <c r="J38" s="162" t="s">
        <v>471</v>
      </c>
    </row>
    <row r="39" spans="1:11" x14ac:dyDescent="0.3">
      <c r="A39" s="109" t="s">
        <v>920</v>
      </c>
      <c r="B39" s="163">
        <f>-IF(ISNA(VLOOKUP($J39,FM!$A:$J,3,FALSE)),0,VLOOKUP($J39,FM!$A:$J,3,FALSE))</f>
        <v>0</v>
      </c>
      <c r="C39" s="163">
        <f>-IF(ISNA(VLOOKUP($J39,FM!$A:$J,4,FALSE)),0,VLOOKUP($J39,FM!$A:$J,4,FALSE))</f>
        <v>4869731.9000000004</v>
      </c>
      <c r="D39" s="163">
        <f>-IF(ISNA(VLOOKUP($J39,FM!$A:$J,5,FALSE)),0,VLOOKUP($J39,FM!$A:$J,5,FALSE))</f>
        <v>0</v>
      </c>
      <c r="E39" s="163">
        <f>-IF(ISNA(VLOOKUP($J39,FM!$A:$J,6,FALSE)),0,VLOOKUP($J39,FM!$A:$J,6,FALSE))</f>
        <v>0</v>
      </c>
      <c r="F39" s="163">
        <f>-IF(ISNA(VLOOKUP($J39,FM!$A:$J,7,FALSE)),0,VLOOKUP($J39,FM!$A:$J,7,FALSE))</f>
        <v>0</v>
      </c>
      <c r="G39" s="163">
        <f t="shared" si="7"/>
        <v>0</v>
      </c>
      <c r="H39" s="163">
        <f t="shared" si="7"/>
        <v>4869731.9000000004</v>
      </c>
      <c r="I39" s="163">
        <f t="shared" si="6"/>
        <v>4869731.9000000004</v>
      </c>
      <c r="J39" s="162" t="s">
        <v>862</v>
      </c>
    </row>
    <row r="40" spans="1:11" x14ac:dyDescent="0.3">
      <c r="A40" s="109" t="s">
        <v>62</v>
      </c>
      <c r="B40" s="60">
        <f t="shared" ref="B40:I40" si="8">SUM(B27:B39)</f>
        <v>191910864.75999999</v>
      </c>
      <c r="C40" s="60">
        <f t="shared" si="8"/>
        <v>-10499138.549999999</v>
      </c>
      <c r="D40" s="60">
        <f t="shared" si="8"/>
        <v>0</v>
      </c>
      <c r="E40" s="60">
        <f t="shared" si="8"/>
        <v>0</v>
      </c>
      <c r="F40" s="60">
        <f t="shared" si="8"/>
        <v>0</v>
      </c>
      <c r="G40" s="60">
        <f t="shared" si="8"/>
        <v>191910864.75999999</v>
      </c>
      <c r="H40" s="60">
        <f t="shared" si="8"/>
        <v>-10499138.549999999</v>
      </c>
      <c r="I40" s="60">
        <f t="shared" si="8"/>
        <v>181411726.21000001</v>
      </c>
      <c r="J40" s="164" t="s">
        <v>451</v>
      </c>
    </row>
    <row r="41" spans="1:11" x14ac:dyDescent="0.3">
      <c r="A41" s="108" t="s">
        <v>63</v>
      </c>
      <c r="B41" s="166">
        <f t="shared" ref="B41:I41" si="9">B18+B21+B25+B40</f>
        <v>2516261884.1900005</v>
      </c>
      <c r="C41" s="166">
        <f t="shared" si="9"/>
        <v>875370692.42000008</v>
      </c>
      <c r="D41" s="166">
        <f t="shared" si="9"/>
        <v>0</v>
      </c>
      <c r="E41" s="166">
        <f t="shared" si="9"/>
        <v>0</v>
      </c>
      <c r="F41" s="166">
        <f t="shared" si="9"/>
        <v>0</v>
      </c>
      <c r="G41" s="166">
        <f t="shared" si="9"/>
        <v>2516261884.1900005</v>
      </c>
      <c r="H41" s="166">
        <f t="shared" si="9"/>
        <v>875370692.42000008</v>
      </c>
      <c r="I41" s="166">
        <f t="shared" si="9"/>
        <v>3391632576.6099997</v>
      </c>
      <c r="J41" s="164" t="s">
        <v>425</v>
      </c>
    </row>
    <row r="42" spans="1:11" x14ac:dyDescent="0.3">
      <c r="A42" s="158"/>
      <c r="B42" s="160"/>
      <c r="C42" s="160"/>
      <c r="D42" s="160"/>
      <c r="E42" s="160"/>
      <c r="F42" s="160"/>
      <c r="G42" s="160"/>
      <c r="H42" s="160"/>
      <c r="I42" s="160"/>
    </row>
    <row r="43" spans="1:11" x14ac:dyDescent="0.3">
      <c r="A43" s="108" t="s">
        <v>64</v>
      </c>
      <c r="B43" s="160"/>
      <c r="C43" s="160"/>
      <c r="D43" s="160"/>
      <c r="E43" s="160"/>
      <c r="F43" s="160"/>
      <c r="G43" s="160"/>
      <c r="H43" s="160"/>
      <c r="I43" s="160"/>
      <c r="J43" s="108"/>
    </row>
    <row r="44" spans="1:11" x14ac:dyDescent="0.3">
      <c r="A44" s="59" t="s">
        <v>65</v>
      </c>
      <c r="B44" s="160"/>
      <c r="C44" s="160"/>
      <c r="D44" s="160"/>
      <c r="E44" s="160"/>
      <c r="F44" s="160"/>
      <c r="G44" s="160"/>
      <c r="H44" s="160"/>
      <c r="I44" s="160"/>
    </row>
    <row r="45" spans="1:11" x14ac:dyDescent="0.3">
      <c r="A45" s="109" t="s">
        <v>66</v>
      </c>
      <c r="B45" s="60">
        <f>IF(ISNA(VLOOKUP($J45,FM!$A:$J,3,FALSE)),0,VLOOKUP($J45,FM!$A:$J,3,FALSE))</f>
        <v>94983742.980000004</v>
      </c>
      <c r="C45" s="60">
        <f>IF(ISNA(VLOOKUP($J45,FM!$A:$J,4,FALSE)),0,VLOOKUP($J45,FM!$A:$J,4,FALSE))</f>
        <v>0</v>
      </c>
      <c r="D45" s="60">
        <f>IF(ISNA(VLOOKUP($J45,FM!$A:$J,5,FALSE)),0,VLOOKUP($J45,FM!$A:$J,5,FALSE))</f>
        <v>0</v>
      </c>
      <c r="E45" s="60">
        <f>IF(ISNA(VLOOKUP($J45,FM!$A:$J,6,FALSE)),0,VLOOKUP($J45,FM!$A:$J,6,FALSE))</f>
        <v>0</v>
      </c>
      <c r="F45" s="60">
        <f>IF(ISNA(VLOOKUP($J45,FM!$A:$J,7,FALSE)),0,VLOOKUP($J45,FM!$A:$J,7,FALSE))</f>
        <v>0</v>
      </c>
      <c r="G45" s="60">
        <f>B45+E45</f>
        <v>94983742.980000004</v>
      </c>
      <c r="H45" s="60">
        <f>C45+F45</f>
        <v>0</v>
      </c>
      <c r="I45" s="60">
        <f t="shared" ref="I45:I46" si="10">SUM(G45:H45)</f>
        <v>94983742.980000004</v>
      </c>
      <c r="J45" s="167" t="s">
        <v>478</v>
      </c>
    </row>
    <row r="46" spans="1:11" x14ac:dyDescent="0.3">
      <c r="A46" s="109" t="s">
        <v>67</v>
      </c>
      <c r="B46" s="163">
        <f>IF(ISNA(VLOOKUP($J46,FM!$A:$J,3,FALSE)),0,VLOOKUP($J46,FM!$A:$J,3,FALSE))</f>
        <v>187880092.78999999</v>
      </c>
      <c r="C46" s="163">
        <f>IF(ISNA(VLOOKUP($J46,FM!$A:$J,4,FALSE)),0,VLOOKUP($J46,FM!$A:$J,4,FALSE))</f>
        <v>0</v>
      </c>
      <c r="D46" s="163">
        <f>IF(ISNA(VLOOKUP($J46,FM!$A:$J,5,FALSE)),0,VLOOKUP($J46,FM!$A:$J,5,FALSE))</f>
        <v>0</v>
      </c>
      <c r="E46" s="163">
        <f>IF(ISNA(VLOOKUP($J46,FM!$A:$J,6,FALSE)),0,VLOOKUP($J46,FM!$A:$J,6,FALSE))</f>
        <v>0</v>
      </c>
      <c r="F46" s="163">
        <f>IF(ISNA(VLOOKUP($J46,FM!$A:$J,7,FALSE)),0,VLOOKUP($J46,FM!$A:$J,7,FALSE))</f>
        <v>0</v>
      </c>
      <c r="G46" s="163">
        <f>B46+E46</f>
        <v>187880092.78999999</v>
      </c>
      <c r="H46" s="163">
        <f>C46+F46</f>
        <v>0</v>
      </c>
      <c r="I46" s="163">
        <f t="shared" si="10"/>
        <v>187880092.78999999</v>
      </c>
      <c r="J46" s="167" t="s">
        <v>480</v>
      </c>
      <c r="K46" s="3"/>
    </row>
    <row r="47" spans="1:11" x14ac:dyDescent="0.3">
      <c r="A47" s="109" t="s">
        <v>68</v>
      </c>
      <c r="B47" s="60">
        <f>SUM(B45:B46)</f>
        <v>282863835.76999998</v>
      </c>
      <c r="C47" s="60">
        <f t="shared" ref="C47:I47" si="11">SUM(C45:C46)</f>
        <v>0</v>
      </c>
      <c r="D47" s="60">
        <f t="shared" si="11"/>
        <v>0</v>
      </c>
      <c r="E47" s="60">
        <f t="shared" si="11"/>
        <v>0</v>
      </c>
      <c r="F47" s="60">
        <f t="shared" si="11"/>
        <v>0</v>
      </c>
      <c r="G47" s="60">
        <f t="shared" si="11"/>
        <v>282863835.76999998</v>
      </c>
      <c r="H47" s="60">
        <f t="shared" si="11"/>
        <v>0</v>
      </c>
      <c r="I47" s="60">
        <f t="shared" si="11"/>
        <v>282863835.76999998</v>
      </c>
      <c r="J47" s="164" t="s">
        <v>476</v>
      </c>
    </row>
    <row r="48" spans="1:11" x14ac:dyDescent="0.3">
      <c r="A48" s="59" t="s">
        <v>69</v>
      </c>
      <c r="B48" s="160"/>
      <c r="C48" s="160"/>
      <c r="D48" s="160"/>
      <c r="E48" s="160"/>
      <c r="F48" s="160"/>
      <c r="G48" s="160"/>
      <c r="H48" s="160"/>
      <c r="I48" s="160"/>
    </row>
    <row r="49" spans="1:12" x14ac:dyDescent="0.3">
      <c r="A49" s="109" t="s">
        <v>70</v>
      </c>
      <c r="B49" s="60">
        <f>IF(ISNA(VLOOKUP($J49,FM!$A:$J,3,FALSE)),0,VLOOKUP($J49,FM!$A:$J,3,FALSE))</f>
        <v>638473444.10000002</v>
      </c>
      <c r="C49" s="60">
        <f>IF(ISNA(VLOOKUP($J49,FM!$A:$J,4,FALSE)),0,VLOOKUP($J49,FM!$A:$J,4,FALSE))</f>
        <v>0</v>
      </c>
      <c r="D49" s="60">
        <f>IF(ISNA(VLOOKUP($J49,FM!$A:$J,5,FALSE)),0,VLOOKUP($J49,FM!$A:$J,5,FALSE))</f>
        <v>0</v>
      </c>
      <c r="E49" s="60">
        <f>IF(ISNA(VLOOKUP($J49,FM!$A:$J,6,FALSE)),0,VLOOKUP($J49,FM!$A:$J,6,FALSE))</f>
        <v>0</v>
      </c>
      <c r="F49" s="60">
        <f>IF(ISNA(VLOOKUP($J49,FM!$A:$J,7,FALSE)),0,VLOOKUP($J49,FM!$A:$J,7,FALSE))</f>
        <v>0</v>
      </c>
      <c r="G49" s="60">
        <f t="shared" ref="G49:H55" si="12">B49+E49</f>
        <v>638473444.10000002</v>
      </c>
      <c r="H49" s="60">
        <f t="shared" si="12"/>
        <v>0</v>
      </c>
      <c r="I49" s="60">
        <f t="shared" ref="I49:I55" si="13">SUM(G49:H49)</f>
        <v>638473444.10000002</v>
      </c>
      <c r="J49" s="167" t="s">
        <v>484</v>
      </c>
    </row>
    <row r="50" spans="1:12" x14ac:dyDescent="0.3">
      <c r="A50" s="109" t="s">
        <v>71</v>
      </c>
      <c r="B50" s="60">
        <f>IF(ISNA(VLOOKUP($J50,FM!$A:$J,3,FALSE)),0,VLOOKUP($J50,FM!$A:$J,3,FALSE))</f>
        <v>-21388428.559999999</v>
      </c>
      <c r="C50" s="60">
        <f>IF(ISNA(VLOOKUP($J50,FM!$A:$J,4,FALSE)),0,VLOOKUP($J50,FM!$A:$J,4,FALSE))</f>
        <v>0</v>
      </c>
      <c r="D50" s="60">
        <f>IF(ISNA(VLOOKUP($J50,FM!$A:$J,5,FALSE)),0,VLOOKUP($J50,FM!$A:$J,5,FALSE))</f>
        <v>0</v>
      </c>
      <c r="E50" s="60">
        <f>IF(ISNA(VLOOKUP($J50,FM!$A:$J,6,FALSE)),0,VLOOKUP($J50,FM!$A:$J,6,FALSE))</f>
        <v>0</v>
      </c>
      <c r="F50" s="60">
        <f>IF(ISNA(VLOOKUP($J50,FM!$A:$J,7,FALSE)),0,VLOOKUP($J50,FM!$A:$J,7,FALSE))</f>
        <v>0</v>
      </c>
      <c r="G50" s="60">
        <f t="shared" si="12"/>
        <v>-21388428.559999999</v>
      </c>
      <c r="H50" s="60">
        <f t="shared" si="12"/>
        <v>0</v>
      </c>
      <c r="I50" s="60">
        <f t="shared" si="13"/>
        <v>-21388428.559999999</v>
      </c>
      <c r="J50" s="167" t="s">
        <v>486</v>
      </c>
    </row>
    <row r="51" spans="1:12" x14ac:dyDescent="0.3">
      <c r="A51" s="109" t="s">
        <v>72</v>
      </c>
      <c r="B51" s="60">
        <f>IF(ISNA(VLOOKUP($J51,FM!$A:$J,3,FALSE)),0,VLOOKUP($J51,FM!$A:$J,3,FALSE))</f>
        <v>0</v>
      </c>
      <c r="C51" s="60">
        <f>IF(ISNA(VLOOKUP($J51,FM!$A:$J,4,FALSE)),0,VLOOKUP($J51,FM!$A:$J,4,FALSE))</f>
        <v>410534333.37</v>
      </c>
      <c r="D51" s="60">
        <f>IF(ISNA(VLOOKUP($J51,FM!$A:$J,5,FALSE)),0,VLOOKUP($J51,FM!$A:$J,5,FALSE))</f>
        <v>0</v>
      </c>
      <c r="E51" s="60">
        <f>IF(ISNA(VLOOKUP($J51,FM!$A:$J,6,FALSE)),0,VLOOKUP($J51,FM!$A:$J,6,FALSE))</f>
        <v>0</v>
      </c>
      <c r="F51" s="60">
        <f>IF(ISNA(VLOOKUP($J51,FM!$A:$J,7,FALSE)),0,VLOOKUP($J51,FM!$A:$J,7,FALSE))</f>
        <v>0</v>
      </c>
      <c r="G51" s="60">
        <f t="shared" si="12"/>
        <v>0</v>
      </c>
      <c r="H51" s="60">
        <f t="shared" si="12"/>
        <v>410534333.37</v>
      </c>
      <c r="I51" s="60">
        <f t="shared" si="13"/>
        <v>410534333.37</v>
      </c>
      <c r="J51" s="167" t="s">
        <v>488</v>
      </c>
    </row>
    <row r="52" spans="1:12" x14ac:dyDescent="0.3">
      <c r="A52" s="109" t="s">
        <v>73</v>
      </c>
      <c r="B52" s="60">
        <f>IF(ISNA(VLOOKUP($J52,FM!$A:$J,3,FALSE)),0,VLOOKUP($J52,FM!$A:$J,3,FALSE))</f>
        <v>0</v>
      </c>
      <c r="C52" s="60">
        <f>IF(ISNA(VLOOKUP($J52,FM!$A:$J,4,FALSE)),0,VLOOKUP($J52,FM!$A:$J,4,FALSE))</f>
        <v>201134</v>
      </c>
      <c r="D52" s="60">
        <f>IF(ISNA(VLOOKUP($J52,FM!$A:$J,5,FALSE)),0,VLOOKUP($J52,FM!$A:$J,5,FALSE))</f>
        <v>0</v>
      </c>
      <c r="E52" s="60">
        <f>IF(ISNA(VLOOKUP($J52,FM!$A:$J,6,FALSE)),0,VLOOKUP($J52,FM!$A:$J,6,FALSE))</f>
        <v>0</v>
      </c>
      <c r="F52" s="60">
        <f>IF(ISNA(VLOOKUP($J52,FM!$A:$J,7,FALSE)),0,VLOOKUP($J52,FM!$A:$J,7,FALSE))</f>
        <v>0</v>
      </c>
      <c r="G52" s="60">
        <f t="shared" si="12"/>
        <v>0</v>
      </c>
      <c r="H52" s="60">
        <f t="shared" si="12"/>
        <v>201134</v>
      </c>
      <c r="I52" s="60">
        <f t="shared" si="13"/>
        <v>201134</v>
      </c>
      <c r="J52" s="167" t="s">
        <v>490</v>
      </c>
    </row>
    <row r="53" spans="1:12" x14ac:dyDescent="0.3">
      <c r="A53" s="109" t="s">
        <v>74</v>
      </c>
      <c r="B53" s="60">
        <f>IF(ISNA(VLOOKUP($J53,FM!$A:$J,3,FALSE)),0,VLOOKUP($J53,FM!$A:$J,3,FALSE))</f>
        <v>0</v>
      </c>
      <c r="C53" s="60">
        <f>IF(ISNA(VLOOKUP($J53,FM!$A:$J,4,FALSE)),0,VLOOKUP($J53,FM!$A:$J,4,FALSE))</f>
        <v>-116662915.34</v>
      </c>
      <c r="D53" s="60">
        <f>IF(ISNA(VLOOKUP($J53,FM!$A:$J,5,FALSE)),0,VLOOKUP($J53,FM!$A:$J,5,FALSE))</f>
        <v>0</v>
      </c>
      <c r="E53" s="60">
        <f>IF(ISNA(VLOOKUP($J53,FM!$A:$J,6,FALSE)),0,VLOOKUP($J53,FM!$A:$J,6,FALSE))</f>
        <v>0</v>
      </c>
      <c r="F53" s="60">
        <f>IF(ISNA(VLOOKUP($J53,FM!$A:$J,7,FALSE)),0,VLOOKUP($J53,FM!$A:$J,7,FALSE))</f>
        <v>0</v>
      </c>
      <c r="G53" s="60">
        <f t="shared" si="12"/>
        <v>0</v>
      </c>
      <c r="H53" s="60">
        <f t="shared" si="12"/>
        <v>-116662915.34</v>
      </c>
      <c r="I53" s="60">
        <f t="shared" si="13"/>
        <v>-116662915.34</v>
      </c>
      <c r="J53" s="167" t="s">
        <v>492</v>
      </c>
    </row>
    <row r="54" spans="1:12" x14ac:dyDescent="0.3">
      <c r="A54" s="109" t="s">
        <v>75</v>
      </c>
      <c r="B54" s="60">
        <f>IF(ISNA(VLOOKUP($J54,FM!$A:$J,3,FALSE)),0,VLOOKUP($J54,FM!$A:$J,3,FALSE))</f>
        <v>0</v>
      </c>
      <c r="C54" s="60">
        <f>IF(ISNA(VLOOKUP($J54,FM!$A:$J,4,FALSE)),0,VLOOKUP($J54,FM!$A:$J,4,FALSE))</f>
        <v>53339090.640000001</v>
      </c>
      <c r="D54" s="60">
        <f>IF(ISNA(VLOOKUP($J54,FM!$A:$J,5,FALSE)),0,VLOOKUP($J54,FM!$A:$J,5,FALSE))</f>
        <v>0</v>
      </c>
      <c r="E54" s="60">
        <f>IF(ISNA(VLOOKUP($J54,FM!$A:$J,6,FALSE)),0,VLOOKUP($J54,FM!$A:$J,6,FALSE))</f>
        <v>0</v>
      </c>
      <c r="F54" s="60">
        <f>IF(ISNA(VLOOKUP($J54,FM!$A:$J,7,FALSE)),0,VLOOKUP($J54,FM!$A:$J,7,FALSE))</f>
        <v>0</v>
      </c>
      <c r="G54" s="60">
        <f t="shared" si="12"/>
        <v>0</v>
      </c>
      <c r="H54" s="60">
        <f t="shared" si="12"/>
        <v>53339090.640000001</v>
      </c>
      <c r="I54" s="60">
        <f t="shared" si="13"/>
        <v>53339090.640000001</v>
      </c>
      <c r="J54" s="167" t="s">
        <v>494</v>
      </c>
    </row>
    <row r="55" spans="1:12" x14ac:dyDescent="0.3">
      <c r="A55" s="109" t="s">
        <v>76</v>
      </c>
      <c r="B55" s="163">
        <f>IF(ISNA(VLOOKUP($J55,FM!$A:$J,3,FALSE)),0,VLOOKUP($J55,FM!$A:$J,3,FALSE))</f>
        <v>0</v>
      </c>
      <c r="C55" s="163">
        <f>IF(ISNA(VLOOKUP($J55,FM!$A:$J,4,FALSE)),0,VLOOKUP($J55,FM!$A:$J,4,FALSE))</f>
        <v>-56435766.280000001</v>
      </c>
      <c r="D55" s="163">
        <f>IF(ISNA(VLOOKUP($J55,FM!$A:$J,5,FALSE)),0,VLOOKUP($J55,FM!$A:$J,5,FALSE))</f>
        <v>0</v>
      </c>
      <c r="E55" s="163">
        <f>IF(ISNA(VLOOKUP($J55,FM!$A:$J,6,FALSE)),0,VLOOKUP($J55,FM!$A:$J,6,FALSE))</f>
        <v>0</v>
      </c>
      <c r="F55" s="163">
        <f>IF(ISNA(VLOOKUP($J55,FM!$A:$J,7,FALSE)),0,VLOOKUP($J55,FM!$A:$J,7,FALSE))</f>
        <v>0</v>
      </c>
      <c r="G55" s="163">
        <f t="shared" si="12"/>
        <v>0</v>
      </c>
      <c r="H55" s="163">
        <f t="shared" si="12"/>
        <v>-56435766.280000001</v>
      </c>
      <c r="I55" s="163">
        <f t="shared" si="13"/>
        <v>-56435766.280000001</v>
      </c>
      <c r="J55" s="167" t="s">
        <v>496</v>
      </c>
      <c r="K55" s="168"/>
    </row>
    <row r="56" spans="1:12" x14ac:dyDescent="0.3">
      <c r="A56" s="109" t="s">
        <v>77</v>
      </c>
      <c r="B56" s="60">
        <f>SUM(B49:B55)</f>
        <v>617085015.54000008</v>
      </c>
      <c r="C56" s="60">
        <f t="shared" ref="C56:I56" si="14">SUM(C49:C55)</f>
        <v>290975876.38999999</v>
      </c>
      <c r="D56" s="60">
        <f t="shared" si="14"/>
        <v>0</v>
      </c>
      <c r="E56" s="60">
        <f t="shared" si="14"/>
        <v>0</v>
      </c>
      <c r="F56" s="60">
        <f t="shared" si="14"/>
        <v>0</v>
      </c>
      <c r="G56" s="60">
        <f>SUM(G49:G55)</f>
        <v>617085015.54000008</v>
      </c>
      <c r="H56" s="60">
        <f t="shared" si="14"/>
        <v>290975876.38999999</v>
      </c>
      <c r="I56" s="60">
        <f t="shared" si="14"/>
        <v>908060891.93000007</v>
      </c>
      <c r="J56" s="164" t="s">
        <v>482</v>
      </c>
      <c r="K56" s="168"/>
    </row>
    <row r="57" spans="1:12" x14ac:dyDescent="0.3">
      <c r="A57" s="59" t="s">
        <v>78</v>
      </c>
      <c r="B57" s="160"/>
      <c r="C57" s="160"/>
      <c r="D57" s="160"/>
      <c r="E57" s="160"/>
      <c r="F57" s="160"/>
      <c r="G57" s="160"/>
      <c r="H57" s="160"/>
      <c r="I57" s="160"/>
      <c r="J57" s="59"/>
    </row>
    <row r="58" spans="1:12" x14ac:dyDescent="0.3">
      <c r="A58" s="109" t="s">
        <v>79</v>
      </c>
      <c r="B58" s="163">
        <f>IF(ISNA(VLOOKUP($J58,FM!$A:$J,3,FALSE)),0,VLOOKUP($J58,FM!$A:$J,3,FALSE))</f>
        <v>121674523.33</v>
      </c>
      <c r="C58" s="163">
        <f>IF(ISNA(VLOOKUP($J58,FM!$A:$J,4,FALSE)),0,VLOOKUP($J58,FM!$A:$J,4,FALSE))</f>
        <v>0</v>
      </c>
      <c r="D58" s="163">
        <f>IF(ISNA(VLOOKUP($J58,FM!$A:$J,5,FALSE)),0,VLOOKUP($J58,FM!$A:$J,5,FALSE))</f>
        <v>0</v>
      </c>
      <c r="E58" s="163">
        <f>IF(ISNA(VLOOKUP($J58,FM!$A:$J,6,FALSE)),0,VLOOKUP($J58,FM!$A:$J,6,FALSE))</f>
        <v>0</v>
      </c>
      <c r="F58" s="163">
        <f>IF(ISNA(VLOOKUP($J58,FM!$A:$J,7,FALSE)),0,VLOOKUP($J58,FM!$A:$J,7,FALSE))</f>
        <v>0</v>
      </c>
      <c r="G58" s="163">
        <f>B58+E58</f>
        <v>121674523.33</v>
      </c>
      <c r="H58" s="163">
        <f>C58+F58</f>
        <v>0</v>
      </c>
      <c r="I58" s="163">
        <f t="shared" ref="I58" si="15">SUM(G58:H58)</f>
        <v>121674523.33</v>
      </c>
      <c r="J58" s="167" t="s">
        <v>500</v>
      </c>
    </row>
    <row r="59" spans="1:12" x14ac:dyDescent="0.3">
      <c r="A59" s="109" t="s">
        <v>80</v>
      </c>
      <c r="B59" s="60">
        <f>SUM(B58)</f>
        <v>121674523.33</v>
      </c>
      <c r="C59" s="60">
        <f t="shared" ref="C59:I59" si="16">SUM(C58)</f>
        <v>0</v>
      </c>
      <c r="D59" s="60">
        <f t="shared" si="16"/>
        <v>0</v>
      </c>
      <c r="E59" s="60">
        <f t="shared" si="16"/>
        <v>0</v>
      </c>
      <c r="F59" s="60">
        <f t="shared" si="16"/>
        <v>0</v>
      </c>
      <c r="G59" s="60">
        <f t="shared" si="16"/>
        <v>121674523.33</v>
      </c>
      <c r="H59" s="60">
        <f t="shared" si="16"/>
        <v>0</v>
      </c>
      <c r="I59" s="60">
        <f t="shared" si="16"/>
        <v>121674523.33</v>
      </c>
      <c r="J59" s="164" t="s">
        <v>498</v>
      </c>
    </row>
    <row r="60" spans="1:12" x14ac:dyDescent="0.3">
      <c r="A60" s="59" t="s">
        <v>81</v>
      </c>
      <c r="B60" s="160"/>
      <c r="C60" s="160"/>
      <c r="D60" s="160"/>
      <c r="E60" s="160"/>
      <c r="F60" s="160"/>
      <c r="G60" s="160"/>
      <c r="H60" s="160"/>
      <c r="I60" s="160"/>
      <c r="J60" s="59"/>
    </row>
    <row r="61" spans="1:12" x14ac:dyDescent="0.3">
      <c r="A61" s="109" t="s">
        <v>82</v>
      </c>
      <c r="B61" s="163">
        <f>IF(ISNA(VLOOKUP($J61,FM!$A:$J,3,FALSE)),0,VLOOKUP($J61,FM!$A:$J,3,FALSE))</f>
        <v>-79186637.340000004</v>
      </c>
      <c r="C61" s="163">
        <f>IF(ISNA(VLOOKUP($J61,FM!$A:$J,4,FALSE)),0,VLOOKUP($J61,FM!$A:$J,4,FALSE))</f>
        <v>0</v>
      </c>
      <c r="D61" s="163">
        <f>IF(ISNA(VLOOKUP($J61,FM!$A:$J,5,FALSE)),0,VLOOKUP($J61,FM!$A:$J,5,FALSE))</f>
        <v>0</v>
      </c>
      <c r="E61" s="163">
        <f>IF(ISNA(VLOOKUP($J61,FM!$A:$J,6,FALSE)),0,VLOOKUP($J61,FM!$A:$J,6,FALSE))</f>
        <v>0</v>
      </c>
      <c r="F61" s="163">
        <f>IF(ISNA(VLOOKUP($J61,FM!$A:$J,7,FALSE)),0,VLOOKUP($J61,FM!$A:$J,7,FALSE))</f>
        <v>0</v>
      </c>
      <c r="G61" s="163">
        <f>B61+E61</f>
        <v>-79186637.340000004</v>
      </c>
      <c r="H61" s="163">
        <f>C61+F61</f>
        <v>0</v>
      </c>
      <c r="I61" s="163">
        <f t="shared" ref="I61" si="17">SUM(G61:H61)</f>
        <v>-79186637.340000004</v>
      </c>
      <c r="J61" s="167" t="s">
        <v>504</v>
      </c>
    </row>
    <row r="62" spans="1:12" x14ac:dyDescent="0.3">
      <c r="A62" s="109" t="s">
        <v>83</v>
      </c>
      <c r="B62" s="60">
        <f>SUM(B61)</f>
        <v>-79186637.340000004</v>
      </c>
      <c r="C62" s="60">
        <f t="shared" ref="C62:I62" si="18">SUM(C61)</f>
        <v>0</v>
      </c>
      <c r="D62" s="60">
        <f t="shared" si="18"/>
        <v>0</v>
      </c>
      <c r="E62" s="60">
        <f t="shared" si="18"/>
        <v>0</v>
      </c>
      <c r="F62" s="60">
        <f t="shared" si="18"/>
        <v>0</v>
      </c>
      <c r="G62" s="60">
        <f t="shared" si="18"/>
        <v>-79186637.340000004</v>
      </c>
      <c r="H62" s="60">
        <f t="shared" si="18"/>
        <v>0</v>
      </c>
      <c r="I62" s="60">
        <f t="shared" si="18"/>
        <v>-79186637.340000004</v>
      </c>
      <c r="J62" s="164" t="s">
        <v>502</v>
      </c>
    </row>
    <row r="63" spans="1:12" x14ac:dyDescent="0.3">
      <c r="A63" s="108" t="s">
        <v>84</v>
      </c>
      <c r="B63" s="169">
        <f>B47+B56+B59+B62</f>
        <v>942436737.30000007</v>
      </c>
      <c r="C63" s="169">
        <f t="shared" ref="C63:I63" si="19">C47+C56+C59+C62</f>
        <v>290975876.38999999</v>
      </c>
      <c r="D63" s="169">
        <f t="shared" si="19"/>
        <v>0</v>
      </c>
      <c r="E63" s="139">
        <f t="shared" si="19"/>
        <v>0</v>
      </c>
      <c r="F63" s="139">
        <f t="shared" si="19"/>
        <v>0</v>
      </c>
      <c r="G63" s="169">
        <f t="shared" si="19"/>
        <v>942436737.30000007</v>
      </c>
      <c r="H63" s="169">
        <f t="shared" si="19"/>
        <v>290975876.38999999</v>
      </c>
      <c r="I63" s="169">
        <f t="shared" si="19"/>
        <v>1233412613.6900001</v>
      </c>
      <c r="J63" s="164" t="s">
        <v>474</v>
      </c>
      <c r="L63" s="168"/>
    </row>
    <row r="64" spans="1:12" x14ac:dyDescent="0.3">
      <c r="A64" s="158"/>
      <c r="B64" s="163"/>
      <c r="C64" s="163"/>
      <c r="D64" s="163"/>
      <c r="E64" s="163"/>
      <c r="F64" s="163"/>
      <c r="G64" s="163"/>
      <c r="H64" s="163"/>
      <c r="I64" s="163"/>
      <c r="J64" s="108"/>
    </row>
    <row r="65" spans="1:10" ht="15" thickBot="1" x14ac:dyDescent="0.35">
      <c r="A65" s="108" t="s">
        <v>85</v>
      </c>
      <c r="B65" s="170">
        <f>B41-B63</f>
        <v>1573825146.8900003</v>
      </c>
      <c r="C65" s="170">
        <f t="shared" ref="C65:I65" si="20">C41-C63</f>
        <v>584394816.03000009</v>
      </c>
      <c r="D65" s="170">
        <f t="shared" si="20"/>
        <v>0</v>
      </c>
      <c r="E65" s="170">
        <f t="shared" si="20"/>
        <v>0</v>
      </c>
      <c r="F65" s="170">
        <f t="shared" si="20"/>
        <v>0</v>
      </c>
      <c r="G65" s="170">
        <f t="shared" si="20"/>
        <v>1573825146.8900003</v>
      </c>
      <c r="H65" s="170">
        <f t="shared" si="20"/>
        <v>584394816.03000009</v>
      </c>
      <c r="I65" s="170">
        <f t="shared" si="20"/>
        <v>2158219962.9199996</v>
      </c>
      <c r="J65" s="109"/>
    </row>
    <row r="66" spans="1:10" ht="15" thickTop="1" x14ac:dyDescent="0.3">
      <c r="A66" s="158"/>
      <c r="B66" s="160"/>
      <c r="C66" s="160"/>
      <c r="D66" s="160"/>
      <c r="E66" s="160"/>
      <c r="F66" s="160"/>
      <c r="G66" s="160"/>
      <c r="H66" s="160"/>
      <c r="I66" s="160"/>
      <c r="J66" s="108"/>
    </row>
    <row r="67" spans="1:10" x14ac:dyDescent="0.3">
      <c r="A67" s="108" t="s">
        <v>86</v>
      </c>
      <c r="B67" s="160"/>
      <c r="C67" s="160"/>
      <c r="D67" s="160"/>
      <c r="E67" s="160"/>
      <c r="F67" s="160"/>
      <c r="G67" s="160"/>
      <c r="H67" s="160"/>
      <c r="I67" s="160"/>
      <c r="J67" s="109"/>
    </row>
    <row r="68" spans="1:10" x14ac:dyDescent="0.3">
      <c r="A68" s="109" t="s">
        <v>87</v>
      </c>
      <c r="B68" s="160"/>
      <c r="C68" s="160"/>
      <c r="D68" s="160"/>
      <c r="E68" s="160"/>
      <c r="F68" s="160"/>
      <c r="G68" s="160"/>
      <c r="H68" s="160"/>
      <c r="I68" s="160"/>
      <c r="J68" s="59"/>
    </row>
    <row r="69" spans="1:10" x14ac:dyDescent="0.3">
      <c r="A69" s="59" t="s">
        <v>88</v>
      </c>
      <c r="B69" s="160"/>
      <c r="C69" s="160"/>
      <c r="D69" s="160"/>
      <c r="E69" s="160"/>
      <c r="F69" s="160"/>
      <c r="G69" s="160"/>
      <c r="H69" s="160"/>
      <c r="I69" s="160"/>
    </row>
    <row r="70" spans="1:10" x14ac:dyDescent="0.3">
      <c r="A70" s="109" t="s">
        <v>89</v>
      </c>
      <c r="B70" s="60">
        <f>IF(ISNA(VLOOKUP($J70,FM!$A:$J,3,FALSE)),0,VLOOKUP($J70,FM!$A:$J,3,FALSE))</f>
        <v>1345910.98</v>
      </c>
      <c r="C70" s="60">
        <f>IF(ISNA(VLOOKUP($J70,FM!$A:$J,4,FALSE)),0,VLOOKUP($J70,FM!$A:$J,4,FALSE))</f>
        <v>0</v>
      </c>
      <c r="D70" s="60">
        <f>IF(ISNA(VLOOKUP($J70,FM!$A:$J,5,FALSE)),0,VLOOKUP($J70,FM!$A:$J,5,FALSE))</f>
        <v>0</v>
      </c>
      <c r="E70" s="60">
        <f>IF(ISNA(VLOOKUP($J70,FM!$A:$J,6,FALSE)),0,VLOOKUP($J70,FM!$A:$J,6,FALSE))</f>
        <v>0</v>
      </c>
      <c r="F70" s="60">
        <f>IF(ISNA(VLOOKUP($J70,FM!$A:$J,7,FALSE)),0,VLOOKUP($J70,FM!$A:$J,7,FALSE))</f>
        <v>0</v>
      </c>
      <c r="G70" s="60">
        <f t="shared" ref="G70:H134" si="21">B70+E70</f>
        <v>1345910.98</v>
      </c>
      <c r="H70" s="60">
        <f t="shared" si="21"/>
        <v>0</v>
      </c>
      <c r="I70" s="60">
        <f t="shared" ref="I70:I134" si="22">SUM(G70:H70)</f>
        <v>1345910.98</v>
      </c>
      <c r="J70" s="167" t="s">
        <v>510</v>
      </c>
    </row>
    <row r="71" spans="1:10" x14ac:dyDescent="0.3">
      <c r="A71" s="109" t="s">
        <v>90</v>
      </c>
      <c r="B71" s="60">
        <f>IF(ISNA(VLOOKUP($J71,FM!$A:$J,3,FALSE)),0,VLOOKUP($J71,FM!$A:$J,3,FALSE))</f>
        <v>10513412.32</v>
      </c>
      <c r="C71" s="60">
        <f>IF(ISNA(VLOOKUP($J71,FM!$A:$J,4,FALSE)),0,VLOOKUP($J71,FM!$A:$J,4,FALSE))</f>
        <v>0</v>
      </c>
      <c r="D71" s="60">
        <f>IF(ISNA(VLOOKUP($J71,FM!$A:$J,5,FALSE)),0,VLOOKUP($J71,FM!$A:$J,5,FALSE))</f>
        <v>0</v>
      </c>
      <c r="E71" s="60">
        <f>IF(ISNA(VLOOKUP($J71,FM!$A:$J,6,FALSE)),0,VLOOKUP($J71,FM!$A:$J,6,FALSE))</f>
        <v>0</v>
      </c>
      <c r="F71" s="60">
        <f>IF(ISNA(VLOOKUP($J71,FM!$A:$J,7,FALSE)),0,VLOOKUP($J71,FM!$A:$J,7,FALSE))</f>
        <v>0</v>
      </c>
      <c r="G71" s="60">
        <f t="shared" si="21"/>
        <v>10513412.32</v>
      </c>
      <c r="H71" s="60">
        <f t="shared" si="21"/>
        <v>0</v>
      </c>
      <c r="I71" s="60">
        <f t="shared" si="22"/>
        <v>10513412.32</v>
      </c>
      <c r="J71" s="167" t="s">
        <v>512</v>
      </c>
    </row>
    <row r="72" spans="1:10" x14ac:dyDescent="0.3">
      <c r="A72" s="109" t="s">
        <v>91</v>
      </c>
      <c r="B72" s="60">
        <f>IF(ISNA(VLOOKUP($J72,FM!$A:$J,3,FALSE)),0,VLOOKUP($J72,FM!$A:$J,3,FALSE))</f>
        <v>1806882.05</v>
      </c>
      <c r="C72" s="60">
        <f>IF(ISNA(VLOOKUP($J72,FM!$A:$J,4,FALSE)),0,VLOOKUP($J72,FM!$A:$J,4,FALSE))</f>
        <v>0</v>
      </c>
      <c r="D72" s="60">
        <f>IF(ISNA(VLOOKUP($J72,FM!$A:$J,5,FALSE)),0,VLOOKUP($J72,FM!$A:$J,5,FALSE))</f>
        <v>0</v>
      </c>
      <c r="E72" s="60">
        <f>IF(ISNA(VLOOKUP($J72,FM!$A:$J,6,FALSE)),0,VLOOKUP($J72,FM!$A:$J,6,FALSE))</f>
        <v>0</v>
      </c>
      <c r="F72" s="60">
        <f>IF(ISNA(VLOOKUP($J72,FM!$A:$J,7,FALSE)),0,VLOOKUP($J72,FM!$A:$J,7,FALSE))</f>
        <v>0</v>
      </c>
      <c r="G72" s="60">
        <f t="shared" si="21"/>
        <v>1806882.05</v>
      </c>
      <c r="H72" s="60">
        <f t="shared" si="21"/>
        <v>0</v>
      </c>
      <c r="I72" s="60">
        <f t="shared" si="22"/>
        <v>1806882.05</v>
      </c>
      <c r="J72" s="167" t="s">
        <v>514</v>
      </c>
    </row>
    <row r="73" spans="1:10" x14ac:dyDescent="0.3">
      <c r="A73" s="109" t="s">
        <v>92</v>
      </c>
      <c r="B73" s="60">
        <f>IF(ISNA(VLOOKUP($J73,FM!$A:$J,3,FALSE)),0,VLOOKUP($J73,FM!$A:$J,3,FALSE))</f>
        <v>10493095.970000001</v>
      </c>
      <c r="C73" s="60">
        <f>IF(ISNA(VLOOKUP($J73,FM!$A:$J,4,FALSE)),0,VLOOKUP($J73,FM!$A:$J,4,FALSE))</f>
        <v>0</v>
      </c>
      <c r="D73" s="60">
        <f>IF(ISNA(VLOOKUP($J73,FM!$A:$J,5,FALSE)),0,VLOOKUP($J73,FM!$A:$J,5,FALSE))</f>
        <v>0</v>
      </c>
      <c r="E73" s="60">
        <f>IF(ISNA(VLOOKUP($J73,FM!$A:$J,6,FALSE)),0,VLOOKUP($J73,FM!$A:$J,6,FALSE))</f>
        <v>0</v>
      </c>
      <c r="F73" s="60">
        <f>IF(ISNA(VLOOKUP($J73,FM!$A:$J,7,FALSE)),0,VLOOKUP($J73,FM!$A:$J,7,FALSE))</f>
        <v>0</v>
      </c>
      <c r="G73" s="60">
        <f t="shared" si="21"/>
        <v>10493095.970000001</v>
      </c>
      <c r="H73" s="60">
        <f t="shared" si="21"/>
        <v>0</v>
      </c>
      <c r="I73" s="60">
        <f t="shared" si="22"/>
        <v>10493095.970000001</v>
      </c>
      <c r="J73" s="167" t="s">
        <v>516</v>
      </c>
    </row>
    <row r="74" spans="1:10" x14ac:dyDescent="0.3">
      <c r="A74" s="109" t="s">
        <v>93</v>
      </c>
      <c r="B74" s="60">
        <f>IF(ISNA(VLOOKUP($J74,FM!$A:$J,3,FALSE)),0,VLOOKUP($J74,FM!$A:$J,3,FALSE))</f>
        <v>24197.72</v>
      </c>
      <c r="C74" s="60">
        <f>IF(ISNA(VLOOKUP($J74,FM!$A:$J,4,FALSE)),0,VLOOKUP($J74,FM!$A:$J,4,FALSE))</f>
        <v>0</v>
      </c>
      <c r="D74" s="60">
        <f>IF(ISNA(VLOOKUP($J74,FM!$A:$J,5,FALSE)),0,VLOOKUP($J74,FM!$A:$J,5,FALSE))</f>
        <v>0</v>
      </c>
      <c r="E74" s="60">
        <f>IF(ISNA(VLOOKUP($J74,FM!$A:$J,6,FALSE)),0,VLOOKUP($J74,FM!$A:$J,6,FALSE))</f>
        <v>0</v>
      </c>
      <c r="F74" s="60">
        <f>IF(ISNA(VLOOKUP($J74,FM!$A:$J,7,FALSE)),0,VLOOKUP($J74,FM!$A:$J,7,FALSE))</f>
        <v>0</v>
      </c>
      <c r="G74" s="60">
        <f t="shared" si="21"/>
        <v>24197.72</v>
      </c>
      <c r="H74" s="60">
        <f t="shared" si="21"/>
        <v>0</v>
      </c>
      <c r="I74" s="60">
        <f t="shared" si="22"/>
        <v>24197.72</v>
      </c>
      <c r="J74" s="167" t="s">
        <v>518</v>
      </c>
    </row>
    <row r="75" spans="1:10" x14ac:dyDescent="0.3">
      <c r="A75" s="109" t="s">
        <v>94</v>
      </c>
      <c r="B75" s="60">
        <f>IF(ISNA(VLOOKUP($J75,FM!$A:$J,3,FALSE)),0,VLOOKUP($J75,FM!$A:$J,3,FALSE))</f>
        <v>1868540.64</v>
      </c>
      <c r="C75" s="60">
        <f>IF(ISNA(VLOOKUP($J75,FM!$A:$J,4,FALSE)),0,VLOOKUP($J75,FM!$A:$J,4,FALSE))</f>
        <v>0</v>
      </c>
      <c r="D75" s="60">
        <f>IF(ISNA(VLOOKUP($J75,FM!$A:$J,5,FALSE)),0,VLOOKUP($J75,FM!$A:$J,5,FALSE))</f>
        <v>0</v>
      </c>
      <c r="E75" s="60">
        <f>IF(ISNA(VLOOKUP($J75,FM!$A:$J,6,FALSE)),0,VLOOKUP($J75,FM!$A:$J,6,FALSE))</f>
        <v>0</v>
      </c>
      <c r="F75" s="60">
        <f>IF(ISNA(VLOOKUP($J75,FM!$A:$J,7,FALSE)),0,VLOOKUP($J75,FM!$A:$J,7,FALSE))</f>
        <v>0</v>
      </c>
      <c r="G75" s="60">
        <f t="shared" si="21"/>
        <v>1868540.64</v>
      </c>
      <c r="H75" s="60">
        <f t="shared" si="21"/>
        <v>0</v>
      </c>
      <c r="I75" s="60">
        <f t="shared" si="22"/>
        <v>1868540.64</v>
      </c>
      <c r="J75" s="167" t="s">
        <v>520</v>
      </c>
    </row>
    <row r="76" spans="1:10" x14ac:dyDescent="0.3">
      <c r="A76" s="109" t="s">
        <v>95</v>
      </c>
      <c r="B76" s="60">
        <f>IF(ISNA(VLOOKUP($J76,FM!$A:$J,3,FALSE)),0,VLOOKUP($J76,FM!$A:$J,3,FALSE))</f>
        <v>1957038.05</v>
      </c>
      <c r="C76" s="60">
        <f>IF(ISNA(VLOOKUP($J76,FM!$A:$J,4,FALSE)),0,VLOOKUP($J76,FM!$A:$J,4,FALSE))</f>
        <v>0</v>
      </c>
      <c r="D76" s="60">
        <f>IF(ISNA(VLOOKUP($J76,FM!$A:$J,5,FALSE)),0,VLOOKUP($J76,FM!$A:$J,5,FALSE))</f>
        <v>0</v>
      </c>
      <c r="E76" s="60">
        <f>IF(ISNA(VLOOKUP($J76,FM!$A:$J,6,FALSE)),0,VLOOKUP($J76,FM!$A:$J,6,FALSE))</f>
        <v>0</v>
      </c>
      <c r="F76" s="60">
        <f>IF(ISNA(VLOOKUP($J76,FM!$A:$J,7,FALSE)),0,VLOOKUP($J76,FM!$A:$J,7,FALSE))</f>
        <v>0</v>
      </c>
      <c r="G76" s="60">
        <f t="shared" si="21"/>
        <v>1957038.05</v>
      </c>
      <c r="H76" s="60">
        <f t="shared" si="21"/>
        <v>0</v>
      </c>
      <c r="I76" s="60">
        <f t="shared" si="22"/>
        <v>1957038.05</v>
      </c>
      <c r="J76" s="167" t="s">
        <v>522</v>
      </c>
    </row>
    <row r="77" spans="1:10" x14ac:dyDescent="0.3">
      <c r="A77" s="109" t="s">
        <v>96</v>
      </c>
      <c r="B77" s="60">
        <f>IF(ISNA(VLOOKUP($J77,FM!$A:$J,3,FALSE)),0,VLOOKUP($J77,FM!$A:$J,3,FALSE))</f>
        <v>14045707.859999999</v>
      </c>
      <c r="C77" s="60">
        <f>IF(ISNA(VLOOKUP($J77,FM!$A:$J,4,FALSE)),0,VLOOKUP($J77,FM!$A:$J,4,FALSE))</f>
        <v>0</v>
      </c>
      <c r="D77" s="60">
        <f>IF(ISNA(VLOOKUP($J77,FM!$A:$J,5,FALSE)),0,VLOOKUP($J77,FM!$A:$J,5,FALSE))</f>
        <v>0</v>
      </c>
      <c r="E77" s="60">
        <f>IF(ISNA(VLOOKUP($J77,FM!$A:$J,6,FALSE)),0,VLOOKUP($J77,FM!$A:$J,6,FALSE))</f>
        <v>0</v>
      </c>
      <c r="F77" s="60">
        <f>IF(ISNA(VLOOKUP($J77,FM!$A:$J,7,FALSE)),0,VLOOKUP($J77,FM!$A:$J,7,FALSE))</f>
        <v>0</v>
      </c>
      <c r="G77" s="60">
        <f t="shared" si="21"/>
        <v>14045707.859999999</v>
      </c>
      <c r="H77" s="60">
        <f t="shared" si="21"/>
        <v>0</v>
      </c>
      <c r="I77" s="60">
        <f t="shared" si="22"/>
        <v>14045707.859999999</v>
      </c>
      <c r="J77" s="167" t="s">
        <v>524</v>
      </c>
    </row>
    <row r="78" spans="1:10" x14ac:dyDescent="0.3">
      <c r="A78" s="109" t="s">
        <v>97</v>
      </c>
      <c r="B78" s="60">
        <f>IF(ISNA(VLOOKUP($J78,FM!$A:$J,3,FALSE)),0,VLOOKUP($J78,FM!$A:$J,3,FALSE))</f>
        <v>7058868.54</v>
      </c>
      <c r="C78" s="60">
        <f>IF(ISNA(VLOOKUP($J78,FM!$A:$J,4,FALSE)),0,VLOOKUP($J78,FM!$A:$J,4,FALSE))</f>
        <v>0</v>
      </c>
      <c r="D78" s="60">
        <f>IF(ISNA(VLOOKUP($J78,FM!$A:$J,5,FALSE)),0,VLOOKUP($J78,FM!$A:$J,5,FALSE))</f>
        <v>0</v>
      </c>
      <c r="E78" s="60">
        <f>IF(ISNA(VLOOKUP($J78,FM!$A:$J,6,FALSE)),0,VLOOKUP($J78,FM!$A:$J,6,FALSE))</f>
        <v>0</v>
      </c>
      <c r="F78" s="60">
        <f>IF(ISNA(VLOOKUP($J78,FM!$A:$J,7,FALSE)),0,VLOOKUP($J78,FM!$A:$J,7,FALSE))</f>
        <v>0</v>
      </c>
      <c r="G78" s="60">
        <f t="shared" si="21"/>
        <v>7058868.54</v>
      </c>
      <c r="H78" s="60">
        <f t="shared" si="21"/>
        <v>0</v>
      </c>
      <c r="I78" s="60">
        <f t="shared" si="22"/>
        <v>7058868.54</v>
      </c>
      <c r="J78" s="167" t="s">
        <v>526</v>
      </c>
    </row>
    <row r="79" spans="1:10" x14ac:dyDescent="0.3">
      <c r="A79" s="109" t="s">
        <v>98</v>
      </c>
      <c r="B79" s="60">
        <f>IF(ISNA(VLOOKUP($J79,FM!$A:$J,3,FALSE)),0,VLOOKUP($J79,FM!$A:$J,3,FALSE))</f>
        <v>3353819.45</v>
      </c>
      <c r="C79" s="60">
        <f>IF(ISNA(VLOOKUP($J79,FM!$A:$J,4,FALSE)),0,VLOOKUP($J79,FM!$A:$J,4,FALSE))</f>
        <v>0</v>
      </c>
      <c r="D79" s="60">
        <f>IF(ISNA(VLOOKUP($J79,FM!$A:$J,5,FALSE)),0,VLOOKUP($J79,FM!$A:$J,5,FALSE))</f>
        <v>0</v>
      </c>
      <c r="E79" s="60">
        <f>IF(ISNA(VLOOKUP($J79,FM!$A:$J,6,FALSE)),0,VLOOKUP($J79,FM!$A:$J,6,FALSE))</f>
        <v>0</v>
      </c>
      <c r="F79" s="60">
        <f>IF(ISNA(VLOOKUP($J79,FM!$A:$J,7,FALSE)),0,VLOOKUP($J79,FM!$A:$J,7,FALSE))</f>
        <v>0</v>
      </c>
      <c r="G79" s="60">
        <f t="shared" si="21"/>
        <v>3353819.45</v>
      </c>
      <c r="H79" s="60">
        <f t="shared" si="21"/>
        <v>0</v>
      </c>
      <c r="I79" s="60">
        <f t="shared" si="22"/>
        <v>3353819.45</v>
      </c>
      <c r="J79" s="167" t="s">
        <v>528</v>
      </c>
    </row>
    <row r="80" spans="1:10" x14ac:dyDescent="0.3">
      <c r="A80" s="109" t="s">
        <v>99</v>
      </c>
      <c r="B80" s="60">
        <f>IF(ISNA(VLOOKUP($J80,FM!$A:$J,3,FALSE)),0,VLOOKUP($J80,FM!$A:$J,3,FALSE))</f>
        <v>2032966.76</v>
      </c>
      <c r="C80" s="60">
        <f>IF(ISNA(VLOOKUP($J80,FM!$A:$J,4,FALSE)),0,VLOOKUP($J80,FM!$A:$J,4,FALSE))</f>
        <v>0</v>
      </c>
      <c r="D80" s="60">
        <f>IF(ISNA(VLOOKUP($J80,FM!$A:$J,5,FALSE)),0,VLOOKUP($J80,FM!$A:$J,5,FALSE))</f>
        <v>0</v>
      </c>
      <c r="E80" s="60">
        <f>IF(ISNA(VLOOKUP($J80,FM!$A:$J,6,FALSE)),0,VLOOKUP($J80,FM!$A:$J,6,FALSE))</f>
        <v>0</v>
      </c>
      <c r="F80" s="60">
        <f>IF(ISNA(VLOOKUP($J80,FM!$A:$J,7,FALSE)),0,VLOOKUP($J80,FM!$A:$J,7,FALSE))</f>
        <v>0</v>
      </c>
      <c r="G80" s="60">
        <f t="shared" si="21"/>
        <v>2032966.76</v>
      </c>
      <c r="H80" s="60">
        <f t="shared" si="21"/>
        <v>0</v>
      </c>
      <c r="I80" s="60">
        <f t="shared" si="22"/>
        <v>2032966.76</v>
      </c>
      <c r="J80" s="167" t="s">
        <v>530</v>
      </c>
    </row>
    <row r="81" spans="1:10" x14ac:dyDescent="0.3">
      <c r="A81" s="109" t="s">
        <v>100</v>
      </c>
      <c r="B81" s="60">
        <f>IF(ISNA(VLOOKUP($J81,FM!$A:$J,3,FALSE)),0,VLOOKUP($J81,FM!$A:$J,3,FALSE))</f>
        <v>0</v>
      </c>
      <c r="C81" s="60">
        <f>IF(ISNA(VLOOKUP($J81,FM!$A:$J,4,FALSE)),0,VLOOKUP($J81,FM!$A:$J,4,FALSE))</f>
        <v>0</v>
      </c>
      <c r="D81" s="60">
        <f>IF(ISNA(VLOOKUP($J81,FM!$A:$J,5,FALSE)),0,VLOOKUP($J81,FM!$A:$J,5,FALSE))</f>
        <v>0</v>
      </c>
      <c r="E81" s="60">
        <f>IF(ISNA(VLOOKUP($J81,FM!$A:$J,6,FALSE)),0,VLOOKUP($J81,FM!$A:$J,6,FALSE))</f>
        <v>0</v>
      </c>
      <c r="F81" s="60">
        <f>IF(ISNA(VLOOKUP($J81,FM!$A:$J,7,FALSE)),0,VLOOKUP($J81,FM!$A:$J,7,FALSE))</f>
        <v>0</v>
      </c>
      <c r="G81" s="60">
        <f t="shared" si="21"/>
        <v>0</v>
      </c>
      <c r="H81" s="60">
        <f t="shared" si="21"/>
        <v>0</v>
      </c>
      <c r="I81" s="60">
        <f t="shared" si="22"/>
        <v>0</v>
      </c>
      <c r="J81" s="167" t="s">
        <v>863</v>
      </c>
    </row>
    <row r="82" spans="1:10" x14ac:dyDescent="0.3">
      <c r="A82" s="109" t="s">
        <v>101</v>
      </c>
      <c r="B82" s="60">
        <f>IF(ISNA(VLOOKUP($J82,FM!$A:$J,3,FALSE)),0,VLOOKUP($J82,FM!$A:$J,3,FALSE))</f>
        <v>3392829.3</v>
      </c>
      <c r="C82" s="60">
        <f>IF(ISNA(VLOOKUP($J82,FM!$A:$J,4,FALSE)),0,VLOOKUP($J82,FM!$A:$J,4,FALSE))</f>
        <v>0</v>
      </c>
      <c r="D82" s="60">
        <f>IF(ISNA(VLOOKUP($J82,FM!$A:$J,5,FALSE)),0,VLOOKUP($J82,FM!$A:$J,5,FALSE))</f>
        <v>0</v>
      </c>
      <c r="E82" s="60">
        <f>IF(ISNA(VLOOKUP($J82,FM!$A:$J,6,FALSE)),0,VLOOKUP($J82,FM!$A:$J,6,FALSE))</f>
        <v>0</v>
      </c>
      <c r="F82" s="60">
        <f>IF(ISNA(VLOOKUP($J82,FM!$A:$J,7,FALSE)),0,VLOOKUP($J82,FM!$A:$J,7,FALSE))</f>
        <v>0</v>
      </c>
      <c r="G82" s="60">
        <f t="shared" si="21"/>
        <v>3392829.3</v>
      </c>
      <c r="H82" s="60">
        <f t="shared" si="21"/>
        <v>0</v>
      </c>
      <c r="I82" s="60">
        <f t="shared" si="22"/>
        <v>3392829.3</v>
      </c>
      <c r="J82" s="167" t="s">
        <v>532</v>
      </c>
    </row>
    <row r="83" spans="1:10" x14ac:dyDescent="0.3">
      <c r="A83" s="109" t="s">
        <v>102</v>
      </c>
      <c r="B83" s="60">
        <f>IF(ISNA(VLOOKUP($J83,FM!$A:$J,3,FALSE)),0,VLOOKUP($J83,FM!$A:$J,3,FALSE))</f>
        <v>250971.06</v>
      </c>
      <c r="C83" s="60">
        <f>IF(ISNA(VLOOKUP($J83,FM!$A:$J,4,FALSE)),0,VLOOKUP($J83,FM!$A:$J,4,FALSE))</f>
        <v>0</v>
      </c>
      <c r="D83" s="60">
        <f>IF(ISNA(VLOOKUP($J83,FM!$A:$J,5,FALSE)),0,VLOOKUP($J83,FM!$A:$J,5,FALSE))</f>
        <v>0</v>
      </c>
      <c r="E83" s="60">
        <f>IF(ISNA(VLOOKUP($J83,FM!$A:$J,6,FALSE)),0,VLOOKUP($J83,FM!$A:$J,6,FALSE))</f>
        <v>0</v>
      </c>
      <c r="F83" s="60">
        <f>IF(ISNA(VLOOKUP($J83,FM!$A:$J,7,FALSE)),0,VLOOKUP($J83,FM!$A:$J,7,FALSE))</f>
        <v>0</v>
      </c>
      <c r="G83" s="60">
        <f t="shared" si="21"/>
        <v>250971.06</v>
      </c>
      <c r="H83" s="60">
        <f t="shared" si="21"/>
        <v>0</v>
      </c>
      <c r="I83" s="60">
        <f t="shared" si="22"/>
        <v>250971.06</v>
      </c>
      <c r="J83" s="167" t="s">
        <v>534</v>
      </c>
    </row>
    <row r="84" spans="1:10" x14ac:dyDescent="0.3">
      <c r="A84" s="109" t="s">
        <v>103</v>
      </c>
      <c r="B84" s="60">
        <f>IF(ISNA(VLOOKUP($J84,FM!$A:$J,3,FALSE)),0,VLOOKUP($J84,FM!$A:$J,3,FALSE))</f>
        <v>1823961.26</v>
      </c>
      <c r="C84" s="60">
        <f>IF(ISNA(VLOOKUP($J84,FM!$A:$J,4,FALSE)),0,VLOOKUP($J84,FM!$A:$J,4,FALSE))</f>
        <v>0</v>
      </c>
      <c r="D84" s="60">
        <f>IF(ISNA(VLOOKUP($J84,FM!$A:$J,5,FALSE)),0,VLOOKUP($J84,FM!$A:$J,5,FALSE))</f>
        <v>0</v>
      </c>
      <c r="E84" s="60">
        <f>IF(ISNA(VLOOKUP($J84,FM!$A:$J,6,FALSE)),0,VLOOKUP($J84,FM!$A:$J,6,FALSE))</f>
        <v>0</v>
      </c>
      <c r="F84" s="60">
        <f>IF(ISNA(VLOOKUP($J84,FM!$A:$J,7,FALSE)),0,VLOOKUP($J84,FM!$A:$J,7,FALSE))</f>
        <v>0</v>
      </c>
      <c r="G84" s="60">
        <f t="shared" si="21"/>
        <v>1823961.26</v>
      </c>
      <c r="H84" s="60">
        <f t="shared" si="21"/>
        <v>0</v>
      </c>
      <c r="I84" s="60">
        <f t="shared" si="22"/>
        <v>1823961.26</v>
      </c>
      <c r="J84" s="167" t="s">
        <v>536</v>
      </c>
    </row>
    <row r="85" spans="1:10" x14ac:dyDescent="0.3">
      <c r="A85" s="109" t="s">
        <v>104</v>
      </c>
      <c r="B85" s="60">
        <f>IF(ISNA(VLOOKUP($J85,FM!$A:$J,3,FALSE)),0,VLOOKUP($J85,FM!$A:$J,3,FALSE))</f>
        <v>0</v>
      </c>
      <c r="C85" s="60">
        <f>IF(ISNA(VLOOKUP($J85,FM!$A:$J,4,FALSE)),0,VLOOKUP($J85,FM!$A:$J,4,FALSE))</f>
        <v>0</v>
      </c>
      <c r="D85" s="60">
        <f>IF(ISNA(VLOOKUP($J85,FM!$A:$J,5,FALSE)),0,VLOOKUP($J85,FM!$A:$J,5,FALSE))</f>
        <v>0</v>
      </c>
      <c r="E85" s="60">
        <f>IF(ISNA(VLOOKUP($J85,FM!$A:$J,6,FALSE)),0,VLOOKUP($J85,FM!$A:$J,6,FALSE))</f>
        <v>0</v>
      </c>
      <c r="F85" s="60">
        <f>IF(ISNA(VLOOKUP($J85,FM!$A:$J,7,FALSE)),0,VLOOKUP($J85,FM!$A:$J,7,FALSE))</f>
        <v>0</v>
      </c>
      <c r="G85" s="60">
        <f t="shared" si="21"/>
        <v>0</v>
      </c>
      <c r="H85" s="60">
        <f t="shared" si="21"/>
        <v>0</v>
      </c>
      <c r="I85" s="60">
        <f t="shared" si="22"/>
        <v>0</v>
      </c>
      <c r="J85" s="167" t="s">
        <v>864</v>
      </c>
    </row>
    <row r="86" spans="1:10" x14ac:dyDescent="0.3">
      <c r="A86" s="109" t="s">
        <v>105</v>
      </c>
      <c r="B86" s="60">
        <f>IF(ISNA(VLOOKUP($J86,FM!$A:$J,3,FALSE)),0,VLOOKUP($J86,FM!$A:$J,3,FALSE))</f>
        <v>190186.16</v>
      </c>
      <c r="C86" s="60">
        <f>IF(ISNA(VLOOKUP($J86,FM!$A:$J,4,FALSE)),0,VLOOKUP($J86,FM!$A:$J,4,FALSE))</f>
        <v>0</v>
      </c>
      <c r="D86" s="60">
        <f>IF(ISNA(VLOOKUP($J86,FM!$A:$J,5,FALSE)),0,VLOOKUP($J86,FM!$A:$J,5,FALSE))</f>
        <v>0</v>
      </c>
      <c r="E86" s="60">
        <f>IF(ISNA(VLOOKUP($J86,FM!$A:$J,6,FALSE)),0,VLOOKUP($J86,FM!$A:$J,6,FALSE))</f>
        <v>0</v>
      </c>
      <c r="F86" s="60">
        <f>IF(ISNA(VLOOKUP($J86,FM!$A:$J,7,FALSE)),0,VLOOKUP($J86,FM!$A:$J,7,FALSE))</f>
        <v>0</v>
      </c>
      <c r="G86" s="60">
        <f t="shared" si="21"/>
        <v>190186.16</v>
      </c>
      <c r="H86" s="60">
        <f t="shared" si="21"/>
        <v>0</v>
      </c>
      <c r="I86" s="60">
        <f t="shared" si="22"/>
        <v>190186.16</v>
      </c>
      <c r="J86" s="167" t="s">
        <v>538</v>
      </c>
    </row>
    <row r="87" spans="1:10" x14ac:dyDescent="0.3">
      <c r="A87" s="109" t="s">
        <v>106</v>
      </c>
      <c r="B87" s="60">
        <f>IF(ISNA(VLOOKUP($J87,FM!$A:$J,3,FALSE)),0,VLOOKUP($J87,FM!$A:$J,3,FALSE))</f>
        <v>351292.51</v>
      </c>
      <c r="C87" s="60">
        <f>IF(ISNA(VLOOKUP($J87,FM!$A:$J,4,FALSE)),0,VLOOKUP($J87,FM!$A:$J,4,FALSE))</f>
        <v>0</v>
      </c>
      <c r="D87" s="60">
        <f>IF(ISNA(VLOOKUP($J87,FM!$A:$J,5,FALSE)),0,VLOOKUP($J87,FM!$A:$J,5,FALSE))</f>
        <v>0</v>
      </c>
      <c r="E87" s="60">
        <f>IF(ISNA(VLOOKUP($J87,FM!$A:$J,6,FALSE)),0,VLOOKUP($J87,FM!$A:$J,6,FALSE))</f>
        <v>0</v>
      </c>
      <c r="F87" s="60">
        <f>IF(ISNA(VLOOKUP($J87,FM!$A:$J,7,FALSE)),0,VLOOKUP($J87,FM!$A:$J,7,FALSE))</f>
        <v>0</v>
      </c>
      <c r="G87" s="60">
        <f t="shared" si="21"/>
        <v>351292.51</v>
      </c>
      <c r="H87" s="60">
        <f t="shared" si="21"/>
        <v>0</v>
      </c>
      <c r="I87" s="60">
        <f t="shared" si="22"/>
        <v>351292.51</v>
      </c>
      <c r="J87" s="167" t="s">
        <v>540</v>
      </c>
    </row>
    <row r="88" spans="1:10" x14ac:dyDescent="0.3">
      <c r="A88" s="109" t="s">
        <v>107</v>
      </c>
      <c r="B88" s="60">
        <f>IF(ISNA(VLOOKUP($J88,FM!$A:$J,3,FALSE)),0,VLOOKUP($J88,FM!$A:$J,3,FALSE))</f>
        <v>419922.19</v>
      </c>
      <c r="C88" s="60">
        <f>IF(ISNA(VLOOKUP($J88,FM!$A:$J,4,FALSE)),0,VLOOKUP($J88,FM!$A:$J,4,FALSE))</f>
        <v>0</v>
      </c>
      <c r="D88" s="60">
        <f>IF(ISNA(VLOOKUP($J88,FM!$A:$J,5,FALSE)),0,VLOOKUP($J88,FM!$A:$J,5,FALSE))</f>
        <v>0</v>
      </c>
      <c r="E88" s="60">
        <f>IF(ISNA(VLOOKUP($J88,FM!$A:$J,6,FALSE)),0,VLOOKUP($J88,FM!$A:$J,6,FALSE))</f>
        <v>0</v>
      </c>
      <c r="F88" s="60">
        <f>IF(ISNA(VLOOKUP($J88,FM!$A:$J,7,FALSE)),0,VLOOKUP($J88,FM!$A:$J,7,FALSE))</f>
        <v>0</v>
      </c>
      <c r="G88" s="60">
        <f t="shared" si="21"/>
        <v>419922.19</v>
      </c>
      <c r="H88" s="60">
        <f t="shared" si="21"/>
        <v>0</v>
      </c>
      <c r="I88" s="60">
        <f t="shared" si="22"/>
        <v>419922.19</v>
      </c>
      <c r="J88" s="167" t="s">
        <v>542</v>
      </c>
    </row>
    <row r="89" spans="1:10" x14ac:dyDescent="0.3">
      <c r="A89" s="109" t="s">
        <v>108</v>
      </c>
      <c r="B89" s="60">
        <f>IF(ISNA(VLOOKUP($J89,FM!$A:$J,3,FALSE)),0,VLOOKUP($J89,FM!$A:$J,3,FALSE))</f>
        <v>1107382.6000000001</v>
      </c>
      <c r="C89" s="60">
        <f>IF(ISNA(VLOOKUP($J89,FM!$A:$J,4,FALSE)),0,VLOOKUP($J89,FM!$A:$J,4,FALSE))</f>
        <v>0</v>
      </c>
      <c r="D89" s="60">
        <f>IF(ISNA(VLOOKUP($J89,FM!$A:$J,5,FALSE)),0,VLOOKUP($J89,FM!$A:$J,5,FALSE))</f>
        <v>0</v>
      </c>
      <c r="E89" s="60">
        <f>IF(ISNA(VLOOKUP($J89,FM!$A:$J,6,FALSE)),0,VLOOKUP($J89,FM!$A:$J,6,FALSE))</f>
        <v>0</v>
      </c>
      <c r="F89" s="60">
        <f>IF(ISNA(VLOOKUP($J89,FM!$A:$J,7,FALSE)),0,VLOOKUP($J89,FM!$A:$J,7,FALSE))</f>
        <v>0</v>
      </c>
      <c r="G89" s="60">
        <f t="shared" si="21"/>
        <v>1107382.6000000001</v>
      </c>
      <c r="H89" s="60">
        <f t="shared" si="21"/>
        <v>0</v>
      </c>
      <c r="I89" s="60">
        <f t="shared" si="22"/>
        <v>1107382.6000000001</v>
      </c>
      <c r="J89" s="167" t="s">
        <v>544</v>
      </c>
    </row>
    <row r="90" spans="1:10" x14ac:dyDescent="0.3">
      <c r="A90" s="109" t="s">
        <v>109</v>
      </c>
      <c r="B90" s="60">
        <f>IF(ISNA(VLOOKUP($J90,FM!$A:$J,3,FALSE)),0,VLOOKUP($J90,FM!$A:$J,3,FALSE))</f>
        <v>3485636.99</v>
      </c>
      <c r="C90" s="60">
        <f>IF(ISNA(VLOOKUP($J90,FM!$A:$J,4,FALSE)),0,VLOOKUP($J90,FM!$A:$J,4,FALSE))</f>
        <v>0</v>
      </c>
      <c r="D90" s="60">
        <f>IF(ISNA(VLOOKUP($J90,FM!$A:$J,5,FALSE)),0,VLOOKUP($J90,FM!$A:$J,5,FALSE))</f>
        <v>0</v>
      </c>
      <c r="E90" s="60">
        <f>IF(ISNA(VLOOKUP($J90,FM!$A:$J,6,FALSE)),0,VLOOKUP($J90,FM!$A:$J,6,FALSE))</f>
        <v>0</v>
      </c>
      <c r="F90" s="60">
        <f>IF(ISNA(VLOOKUP($J90,FM!$A:$J,7,FALSE)),0,VLOOKUP($J90,FM!$A:$J,7,FALSE))</f>
        <v>0</v>
      </c>
      <c r="G90" s="60">
        <f t="shared" si="21"/>
        <v>3485636.99</v>
      </c>
      <c r="H90" s="60">
        <f t="shared" si="21"/>
        <v>0</v>
      </c>
      <c r="I90" s="60">
        <f t="shared" si="22"/>
        <v>3485636.99</v>
      </c>
      <c r="J90" s="167" t="s">
        <v>546</v>
      </c>
    </row>
    <row r="91" spans="1:10" x14ac:dyDescent="0.3">
      <c r="A91" s="109" t="s">
        <v>110</v>
      </c>
      <c r="B91" s="60">
        <f>IF(ISNA(VLOOKUP($J91,FM!$A:$J,3,FALSE)),0,VLOOKUP($J91,FM!$A:$J,3,FALSE))</f>
        <v>4270611.3499999996</v>
      </c>
      <c r="C91" s="60">
        <f>IF(ISNA(VLOOKUP($J91,FM!$A:$J,4,FALSE)),0,VLOOKUP($J91,FM!$A:$J,4,FALSE))</f>
        <v>0</v>
      </c>
      <c r="D91" s="60">
        <f>IF(ISNA(VLOOKUP($J91,FM!$A:$J,5,FALSE)),0,VLOOKUP($J91,FM!$A:$J,5,FALSE))</f>
        <v>0</v>
      </c>
      <c r="E91" s="60">
        <f>IF(ISNA(VLOOKUP($J91,FM!$A:$J,6,FALSE)),0,VLOOKUP($J91,FM!$A:$J,6,FALSE))</f>
        <v>0</v>
      </c>
      <c r="F91" s="60">
        <f>IF(ISNA(VLOOKUP($J91,FM!$A:$J,7,FALSE)),0,VLOOKUP($J91,FM!$A:$J,7,FALSE))</f>
        <v>0</v>
      </c>
      <c r="G91" s="60">
        <f t="shared" si="21"/>
        <v>4270611.3499999996</v>
      </c>
      <c r="H91" s="60">
        <f t="shared" si="21"/>
        <v>0</v>
      </c>
      <c r="I91" s="60">
        <f t="shared" si="22"/>
        <v>4270611.3499999996</v>
      </c>
      <c r="J91" s="167" t="s">
        <v>548</v>
      </c>
    </row>
    <row r="92" spans="1:10" x14ac:dyDescent="0.3">
      <c r="A92" s="109" t="s">
        <v>111</v>
      </c>
      <c r="B92" s="60">
        <f>IF(ISNA(VLOOKUP($J92,FM!$A:$J,3,FALSE)),0,VLOOKUP($J92,FM!$A:$J,3,FALSE))</f>
        <v>12036694.109999999</v>
      </c>
      <c r="C92" s="60">
        <f>IF(ISNA(VLOOKUP($J92,FM!$A:$J,4,FALSE)),0,VLOOKUP($J92,FM!$A:$J,4,FALSE))</f>
        <v>0</v>
      </c>
      <c r="D92" s="60">
        <f>IF(ISNA(VLOOKUP($J92,FM!$A:$J,5,FALSE)),0,VLOOKUP($J92,FM!$A:$J,5,FALSE))</f>
        <v>0</v>
      </c>
      <c r="E92" s="60">
        <f>IF(ISNA(VLOOKUP($J92,FM!$A:$J,6,FALSE)),0,VLOOKUP($J92,FM!$A:$J,6,FALSE))</f>
        <v>0</v>
      </c>
      <c r="F92" s="60">
        <f>IF(ISNA(VLOOKUP($J92,FM!$A:$J,7,FALSE)),0,VLOOKUP($J92,FM!$A:$J,7,FALSE))</f>
        <v>0</v>
      </c>
      <c r="G92" s="60">
        <f t="shared" si="21"/>
        <v>12036694.109999999</v>
      </c>
      <c r="H92" s="60">
        <f t="shared" si="21"/>
        <v>0</v>
      </c>
      <c r="I92" s="60">
        <f t="shared" si="22"/>
        <v>12036694.109999999</v>
      </c>
      <c r="J92" s="167" t="s">
        <v>550</v>
      </c>
    </row>
    <row r="93" spans="1:10" x14ac:dyDescent="0.3">
      <c r="A93" s="109" t="s">
        <v>112</v>
      </c>
      <c r="B93" s="60">
        <f>IF(ISNA(VLOOKUP($J93,FM!$A:$J,3,FALSE)),0,VLOOKUP($J93,FM!$A:$J,3,FALSE))</f>
        <v>4023936.27</v>
      </c>
      <c r="C93" s="60">
        <f>IF(ISNA(VLOOKUP($J93,FM!$A:$J,4,FALSE)),0,VLOOKUP($J93,FM!$A:$J,4,FALSE))</f>
        <v>0</v>
      </c>
      <c r="D93" s="60">
        <f>IF(ISNA(VLOOKUP($J93,FM!$A:$J,5,FALSE)),0,VLOOKUP($J93,FM!$A:$J,5,FALSE))</f>
        <v>0</v>
      </c>
      <c r="E93" s="60">
        <f>IF(ISNA(VLOOKUP($J93,FM!$A:$J,6,FALSE)),0,VLOOKUP($J93,FM!$A:$J,6,FALSE))</f>
        <v>0</v>
      </c>
      <c r="F93" s="60">
        <f>IF(ISNA(VLOOKUP($J93,FM!$A:$J,7,FALSE)),0,VLOOKUP($J93,FM!$A:$J,7,FALSE))</f>
        <v>0</v>
      </c>
      <c r="G93" s="60">
        <f t="shared" si="21"/>
        <v>4023936.27</v>
      </c>
      <c r="H93" s="60">
        <f t="shared" si="21"/>
        <v>0</v>
      </c>
      <c r="I93" s="60">
        <f t="shared" si="22"/>
        <v>4023936.27</v>
      </c>
      <c r="J93" s="167" t="s">
        <v>552</v>
      </c>
    </row>
    <row r="94" spans="1:10" x14ac:dyDescent="0.3">
      <c r="A94" s="109" t="s">
        <v>113</v>
      </c>
      <c r="B94" s="60">
        <f>IF(ISNA(VLOOKUP($J94,FM!$A:$J,3,FALSE)),0,VLOOKUP($J94,FM!$A:$J,3,FALSE))</f>
        <v>6167237.9900000002</v>
      </c>
      <c r="C94" s="60">
        <f>IF(ISNA(VLOOKUP($J94,FM!$A:$J,4,FALSE)),0,VLOOKUP($J94,FM!$A:$J,4,FALSE))</f>
        <v>0</v>
      </c>
      <c r="D94" s="60">
        <f>IF(ISNA(VLOOKUP($J94,FM!$A:$J,5,FALSE)),0,VLOOKUP($J94,FM!$A:$J,5,FALSE))</f>
        <v>0</v>
      </c>
      <c r="E94" s="60">
        <f>IF(ISNA(VLOOKUP($J94,FM!$A:$J,6,FALSE)),0,VLOOKUP($J94,FM!$A:$J,6,FALSE))</f>
        <v>0</v>
      </c>
      <c r="F94" s="60">
        <f>IF(ISNA(VLOOKUP($J94,FM!$A:$J,7,FALSE)),0,VLOOKUP($J94,FM!$A:$J,7,FALSE))</f>
        <v>0</v>
      </c>
      <c r="G94" s="60">
        <f t="shared" si="21"/>
        <v>6167237.9900000002</v>
      </c>
      <c r="H94" s="60">
        <f t="shared" si="21"/>
        <v>0</v>
      </c>
      <c r="I94" s="60">
        <f t="shared" si="22"/>
        <v>6167237.9900000002</v>
      </c>
      <c r="J94" s="167" t="s">
        <v>554</v>
      </c>
    </row>
    <row r="95" spans="1:10" x14ac:dyDescent="0.3">
      <c r="A95" s="109" t="s">
        <v>114</v>
      </c>
      <c r="B95" s="60">
        <f>IF(ISNA(VLOOKUP($J95,FM!$A:$J,3,FALSE)),0,VLOOKUP($J95,FM!$A:$J,3,FALSE))</f>
        <v>516853.11</v>
      </c>
      <c r="C95" s="60">
        <f>IF(ISNA(VLOOKUP($J95,FM!$A:$J,4,FALSE)),0,VLOOKUP($J95,FM!$A:$J,4,FALSE))</f>
        <v>0</v>
      </c>
      <c r="D95" s="60">
        <f>IF(ISNA(VLOOKUP($J95,FM!$A:$J,5,FALSE)),0,VLOOKUP($J95,FM!$A:$J,5,FALSE))</f>
        <v>0</v>
      </c>
      <c r="E95" s="60">
        <f>IF(ISNA(VLOOKUP($J95,FM!$A:$J,6,FALSE)),0,VLOOKUP($J95,FM!$A:$J,6,FALSE))</f>
        <v>0</v>
      </c>
      <c r="F95" s="60">
        <f>IF(ISNA(VLOOKUP($J95,FM!$A:$J,7,FALSE)),0,VLOOKUP($J95,FM!$A:$J,7,FALSE))</f>
        <v>0</v>
      </c>
      <c r="G95" s="60">
        <f t="shared" si="21"/>
        <v>516853.11</v>
      </c>
      <c r="H95" s="60">
        <f t="shared" si="21"/>
        <v>0</v>
      </c>
      <c r="I95" s="60">
        <f t="shared" si="22"/>
        <v>516853.11</v>
      </c>
      <c r="J95" s="167" t="s">
        <v>556</v>
      </c>
    </row>
    <row r="96" spans="1:10" x14ac:dyDescent="0.3">
      <c r="A96" s="109" t="s">
        <v>115</v>
      </c>
      <c r="B96" s="60">
        <f>IF(ISNA(VLOOKUP($J96,FM!$A:$J,3,FALSE)),0,VLOOKUP($J96,FM!$A:$J,3,FALSE))</f>
        <v>978519.16</v>
      </c>
      <c r="C96" s="60">
        <f>IF(ISNA(VLOOKUP($J96,FM!$A:$J,4,FALSE)),0,VLOOKUP($J96,FM!$A:$J,4,FALSE))</f>
        <v>0</v>
      </c>
      <c r="D96" s="60">
        <f>IF(ISNA(VLOOKUP($J96,FM!$A:$J,5,FALSE)),0,VLOOKUP($J96,FM!$A:$J,5,FALSE))</f>
        <v>0</v>
      </c>
      <c r="E96" s="60">
        <f>IF(ISNA(VLOOKUP($J96,FM!$A:$J,6,FALSE)),0,VLOOKUP($J96,FM!$A:$J,6,FALSE))</f>
        <v>0</v>
      </c>
      <c r="F96" s="60">
        <f>IF(ISNA(VLOOKUP($J96,FM!$A:$J,7,FALSE)),0,VLOOKUP($J96,FM!$A:$J,7,FALSE))</f>
        <v>0</v>
      </c>
      <c r="G96" s="60">
        <f t="shared" si="21"/>
        <v>978519.16</v>
      </c>
      <c r="H96" s="60">
        <f t="shared" si="21"/>
        <v>0</v>
      </c>
      <c r="I96" s="60">
        <f t="shared" si="22"/>
        <v>978519.16</v>
      </c>
      <c r="J96" s="167" t="s">
        <v>558</v>
      </c>
    </row>
    <row r="97" spans="1:10" x14ac:dyDescent="0.3">
      <c r="A97" s="109" t="s">
        <v>116</v>
      </c>
      <c r="B97" s="60">
        <f>IF(ISNA(VLOOKUP($J97,FM!$A:$J,3,FALSE)),0,VLOOKUP($J97,FM!$A:$J,3,FALSE))</f>
        <v>30074645.640000001</v>
      </c>
      <c r="C97" s="60">
        <f>IF(ISNA(VLOOKUP($J97,FM!$A:$J,4,FALSE)),0,VLOOKUP($J97,FM!$A:$J,4,FALSE))</f>
        <v>0</v>
      </c>
      <c r="D97" s="60">
        <f>IF(ISNA(VLOOKUP($J97,FM!$A:$J,5,FALSE)),0,VLOOKUP($J97,FM!$A:$J,5,FALSE))</f>
        <v>0</v>
      </c>
      <c r="E97" s="60">
        <f>IF(ISNA(VLOOKUP($J97,FM!$A:$J,6,FALSE)),0,VLOOKUP($J97,FM!$A:$J,6,FALSE))</f>
        <v>0</v>
      </c>
      <c r="F97" s="60">
        <f>IF(ISNA(VLOOKUP($J97,FM!$A:$J,7,FALSE)),0,VLOOKUP($J97,FM!$A:$J,7,FALSE))</f>
        <v>0</v>
      </c>
      <c r="G97" s="60">
        <f t="shared" si="21"/>
        <v>30074645.640000001</v>
      </c>
      <c r="H97" s="60">
        <f t="shared" si="21"/>
        <v>0</v>
      </c>
      <c r="I97" s="60">
        <f t="shared" si="22"/>
        <v>30074645.640000001</v>
      </c>
      <c r="J97" s="167" t="s">
        <v>560</v>
      </c>
    </row>
    <row r="98" spans="1:10" x14ac:dyDescent="0.3">
      <c r="A98" s="109" t="s">
        <v>117</v>
      </c>
      <c r="B98" s="60">
        <f>IF(ISNA(VLOOKUP($J98,FM!$A:$J,3,FALSE)),0,VLOOKUP($J98,FM!$A:$J,3,FALSE))</f>
        <v>670988.14</v>
      </c>
      <c r="C98" s="60">
        <f>IF(ISNA(VLOOKUP($J98,FM!$A:$J,4,FALSE)),0,VLOOKUP($J98,FM!$A:$J,4,FALSE))</f>
        <v>0</v>
      </c>
      <c r="D98" s="60">
        <f>IF(ISNA(VLOOKUP($J98,FM!$A:$J,5,FALSE)),0,VLOOKUP($J98,FM!$A:$J,5,FALSE))</f>
        <v>0</v>
      </c>
      <c r="E98" s="60">
        <f>IF(ISNA(VLOOKUP($J98,FM!$A:$J,6,FALSE)),0,VLOOKUP($J98,FM!$A:$J,6,FALSE))</f>
        <v>0</v>
      </c>
      <c r="F98" s="60">
        <f>IF(ISNA(VLOOKUP($J98,FM!$A:$J,7,FALSE)),0,VLOOKUP($J98,FM!$A:$J,7,FALSE))</f>
        <v>0</v>
      </c>
      <c r="G98" s="60">
        <f t="shared" si="21"/>
        <v>670988.14</v>
      </c>
      <c r="H98" s="60">
        <f t="shared" si="21"/>
        <v>0</v>
      </c>
      <c r="I98" s="60">
        <f t="shared" si="22"/>
        <v>670988.14</v>
      </c>
      <c r="J98" s="167" t="s">
        <v>562</v>
      </c>
    </row>
    <row r="99" spans="1:10" x14ac:dyDescent="0.3">
      <c r="A99" s="109" t="s">
        <v>118</v>
      </c>
      <c r="B99" s="60">
        <f>IF(ISNA(VLOOKUP($J99,FM!$A:$J,3,FALSE)),0,VLOOKUP($J99,FM!$A:$J,3,FALSE))</f>
        <v>123403.95</v>
      </c>
      <c r="C99" s="60">
        <f>IF(ISNA(VLOOKUP($J99,FM!$A:$J,4,FALSE)),0,VLOOKUP($J99,FM!$A:$J,4,FALSE))</f>
        <v>0</v>
      </c>
      <c r="D99" s="60">
        <f>IF(ISNA(VLOOKUP($J99,FM!$A:$J,5,FALSE)),0,VLOOKUP($J99,FM!$A:$J,5,FALSE))</f>
        <v>0</v>
      </c>
      <c r="E99" s="60">
        <f>IF(ISNA(VLOOKUP($J99,FM!$A:$J,6,FALSE)),0,VLOOKUP($J99,FM!$A:$J,6,FALSE))</f>
        <v>0</v>
      </c>
      <c r="F99" s="60">
        <f>IF(ISNA(VLOOKUP($J99,FM!$A:$J,7,FALSE)),0,VLOOKUP($J99,FM!$A:$J,7,FALSE))</f>
        <v>0</v>
      </c>
      <c r="G99" s="60">
        <f t="shared" si="21"/>
        <v>123403.95</v>
      </c>
      <c r="H99" s="60">
        <f t="shared" si="21"/>
        <v>0</v>
      </c>
      <c r="I99" s="60">
        <f t="shared" si="22"/>
        <v>123403.95</v>
      </c>
      <c r="J99" s="167" t="s">
        <v>564</v>
      </c>
    </row>
    <row r="100" spans="1:10" x14ac:dyDescent="0.3">
      <c r="A100" s="109" t="s">
        <v>119</v>
      </c>
      <c r="B100" s="60">
        <f>IF(ISNA(VLOOKUP($J100,FM!$A:$J,3,FALSE)),0,VLOOKUP($J100,FM!$A:$J,3,FALSE))</f>
        <v>0</v>
      </c>
      <c r="C100" s="60">
        <f>IF(ISNA(VLOOKUP($J100,FM!$A:$J,4,FALSE)),0,VLOOKUP($J100,FM!$A:$J,4,FALSE))</f>
        <v>0</v>
      </c>
      <c r="D100" s="60">
        <f>IF(ISNA(VLOOKUP($J100,FM!$A:$J,5,FALSE)),0,VLOOKUP($J100,FM!$A:$J,5,FALSE))</f>
        <v>0</v>
      </c>
      <c r="E100" s="60">
        <f>IF(ISNA(VLOOKUP($J100,FM!$A:$J,6,FALSE)),0,VLOOKUP($J100,FM!$A:$J,6,FALSE))</f>
        <v>0</v>
      </c>
      <c r="F100" s="60">
        <f>IF(ISNA(VLOOKUP($J100,FM!$A:$J,7,FALSE)),0,VLOOKUP($J100,FM!$A:$J,7,FALSE))</f>
        <v>0</v>
      </c>
      <c r="G100" s="60">
        <f t="shared" si="21"/>
        <v>0</v>
      </c>
      <c r="H100" s="60">
        <f t="shared" si="21"/>
        <v>0</v>
      </c>
      <c r="I100" s="60">
        <f t="shared" si="22"/>
        <v>0</v>
      </c>
      <c r="J100" s="167" t="s">
        <v>865</v>
      </c>
    </row>
    <row r="101" spans="1:10" x14ac:dyDescent="0.3">
      <c r="A101" s="109" t="s">
        <v>120</v>
      </c>
      <c r="B101" s="60">
        <f>IF(ISNA(VLOOKUP($J101,FM!$A:$J,3,FALSE)),0,VLOOKUP($J101,FM!$A:$J,3,FALSE))</f>
        <v>0</v>
      </c>
      <c r="C101" s="60">
        <f>IF(ISNA(VLOOKUP($J101,FM!$A:$J,4,FALSE)),0,VLOOKUP($J101,FM!$A:$J,4,FALSE))</f>
        <v>102117.18</v>
      </c>
      <c r="D101" s="60">
        <f>IF(ISNA(VLOOKUP($J101,FM!$A:$J,5,FALSE)),0,VLOOKUP($J101,FM!$A:$J,5,FALSE))</f>
        <v>0</v>
      </c>
      <c r="E101" s="60">
        <f>IF(ISNA(VLOOKUP($J101,FM!$A:$J,6,FALSE)),0,VLOOKUP($J101,FM!$A:$J,6,FALSE))</f>
        <v>0</v>
      </c>
      <c r="F101" s="60">
        <f>IF(ISNA(VLOOKUP($J101,FM!$A:$J,7,FALSE)),0,VLOOKUP($J101,FM!$A:$J,7,FALSE))</f>
        <v>0</v>
      </c>
      <c r="G101" s="60">
        <f t="shared" si="21"/>
        <v>0</v>
      </c>
      <c r="H101" s="60">
        <f t="shared" si="21"/>
        <v>102117.18</v>
      </c>
      <c r="I101" s="60">
        <f t="shared" si="22"/>
        <v>102117.18</v>
      </c>
      <c r="J101" s="167" t="s">
        <v>566</v>
      </c>
    </row>
    <row r="102" spans="1:10" x14ac:dyDescent="0.3">
      <c r="A102" s="109" t="s">
        <v>121</v>
      </c>
      <c r="B102" s="60">
        <f>IF(ISNA(VLOOKUP($J102,FM!$A:$J,3,FALSE)),0,VLOOKUP($J102,FM!$A:$J,3,FALSE))</f>
        <v>0</v>
      </c>
      <c r="C102" s="60">
        <f>IF(ISNA(VLOOKUP($J102,FM!$A:$J,4,FALSE)),0,VLOOKUP($J102,FM!$A:$J,4,FALSE))</f>
        <v>0</v>
      </c>
      <c r="D102" s="60">
        <f>IF(ISNA(VLOOKUP($J102,FM!$A:$J,5,FALSE)),0,VLOOKUP($J102,FM!$A:$J,5,FALSE))</f>
        <v>0</v>
      </c>
      <c r="E102" s="60">
        <f>IF(ISNA(VLOOKUP($J102,FM!$A:$J,6,FALSE)),0,VLOOKUP($J102,FM!$A:$J,6,FALSE))</f>
        <v>0</v>
      </c>
      <c r="F102" s="60">
        <f>IF(ISNA(VLOOKUP($J102,FM!$A:$J,7,FALSE)),0,VLOOKUP($J102,FM!$A:$J,7,FALSE))</f>
        <v>0</v>
      </c>
      <c r="G102" s="60">
        <f t="shared" si="21"/>
        <v>0</v>
      </c>
      <c r="H102" s="60">
        <f t="shared" si="21"/>
        <v>0</v>
      </c>
      <c r="I102" s="60">
        <f t="shared" si="22"/>
        <v>0</v>
      </c>
      <c r="J102" s="167" t="s">
        <v>866</v>
      </c>
    </row>
    <row r="103" spans="1:10" x14ac:dyDescent="0.3">
      <c r="A103" s="109" t="s">
        <v>122</v>
      </c>
      <c r="B103" s="60">
        <f>IF(ISNA(VLOOKUP($J103,FM!$A:$J,3,FALSE)),0,VLOOKUP($J103,FM!$A:$J,3,FALSE))</f>
        <v>0</v>
      </c>
      <c r="C103" s="60">
        <f>IF(ISNA(VLOOKUP($J103,FM!$A:$J,4,FALSE)),0,VLOOKUP($J103,FM!$A:$J,4,FALSE))</f>
        <v>0</v>
      </c>
      <c r="D103" s="60">
        <f>IF(ISNA(VLOOKUP($J103,FM!$A:$J,5,FALSE)),0,VLOOKUP($J103,FM!$A:$J,5,FALSE))</f>
        <v>0</v>
      </c>
      <c r="E103" s="60">
        <f>IF(ISNA(VLOOKUP($J103,FM!$A:$J,6,FALSE)),0,VLOOKUP($J103,FM!$A:$J,6,FALSE))</f>
        <v>0</v>
      </c>
      <c r="F103" s="60">
        <f>IF(ISNA(VLOOKUP($J103,FM!$A:$J,7,FALSE)),0,VLOOKUP($J103,FM!$A:$J,7,FALSE))</f>
        <v>0</v>
      </c>
      <c r="G103" s="60">
        <f t="shared" si="21"/>
        <v>0</v>
      </c>
      <c r="H103" s="60">
        <f t="shared" si="21"/>
        <v>0</v>
      </c>
      <c r="I103" s="60">
        <f t="shared" si="22"/>
        <v>0</v>
      </c>
      <c r="J103" s="167" t="s">
        <v>867</v>
      </c>
    </row>
    <row r="104" spans="1:10" x14ac:dyDescent="0.3">
      <c r="A104" s="109" t="s">
        <v>123</v>
      </c>
      <c r="B104" s="60">
        <f>IF(ISNA(VLOOKUP($J104,FM!$A:$J,3,FALSE)),0,VLOOKUP($J104,FM!$A:$J,3,FALSE))</f>
        <v>0</v>
      </c>
      <c r="C104" s="60">
        <f>IF(ISNA(VLOOKUP($J104,FM!$A:$J,4,FALSE)),0,VLOOKUP($J104,FM!$A:$J,4,FALSE))</f>
        <v>0</v>
      </c>
      <c r="D104" s="60">
        <f>IF(ISNA(VLOOKUP($J104,FM!$A:$J,5,FALSE)),0,VLOOKUP($J104,FM!$A:$J,5,FALSE))</f>
        <v>0</v>
      </c>
      <c r="E104" s="60">
        <f>IF(ISNA(VLOOKUP($J104,FM!$A:$J,6,FALSE)),0,VLOOKUP($J104,FM!$A:$J,6,FALSE))</f>
        <v>0</v>
      </c>
      <c r="F104" s="60">
        <f>IF(ISNA(VLOOKUP($J104,FM!$A:$J,7,FALSE)),0,VLOOKUP($J104,FM!$A:$J,7,FALSE))</f>
        <v>0</v>
      </c>
      <c r="G104" s="60">
        <f t="shared" si="21"/>
        <v>0</v>
      </c>
      <c r="H104" s="60">
        <f t="shared" si="21"/>
        <v>0</v>
      </c>
      <c r="I104" s="60">
        <f t="shared" si="22"/>
        <v>0</v>
      </c>
      <c r="J104" s="167" t="s">
        <v>868</v>
      </c>
    </row>
    <row r="105" spans="1:10" x14ac:dyDescent="0.3">
      <c r="A105" s="109" t="s">
        <v>921</v>
      </c>
      <c r="B105" s="60">
        <f>IF(ISNA(VLOOKUP($J105,FM!$A:$J,3,FALSE)),0,VLOOKUP($J105,FM!$A:$J,3,FALSE))</f>
        <v>0</v>
      </c>
      <c r="C105" s="60">
        <f>IF(ISNA(VLOOKUP($J105,FM!$A:$J,4,FALSE)),0,VLOOKUP($J105,FM!$A:$J,4,FALSE))</f>
        <v>55.6</v>
      </c>
      <c r="D105" s="60">
        <f>IF(ISNA(VLOOKUP($J105,FM!$A:$J,5,FALSE)),0,VLOOKUP($J105,FM!$A:$J,5,FALSE))</f>
        <v>0</v>
      </c>
      <c r="E105" s="60">
        <f>IF(ISNA(VLOOKUP($J105,FM!$A:$J,6,FALSE)),0,VLOOKUP($J105,FM!$A:$J,6,FALSE))</f>
        <v>0</v>
      </c>
      <c r="F105" s="60">
        <f>IF(ISNA(VLOOKUP($J105,FM!$A:$J,7,FALSE)),0,VLOOKUP($J105,FM!$A:$J,7,FALSE))</f>
        <v>0</v>
      </c>
      <c r="G105" s="60">
        <f t="shared" si="21"/>
        <v>0</v>
      </c>
      <c r="H105" s="60">
        <f t="shared" si="21"/>
        <v>55.6</v>
      </c>
      <c r="I105" s="60">
        <f t="shared" si="22"/>
        <v>55.6</v>
      </c>
      <c r="J105" s="167" t="s">
        <v>922</v>
      </c>
    </row>
    <row r="106" spans="1:10" x14ac:dyDescent="0.3">
      <c r="A106" s="109" t="s">
        <v>124</v>
      </c>
      <c r="B106" s="60">
        <f>IF(ISNA(VLOOKUP($J106,FM!$A:$J,3,FALSE)),0,VLOOKUP($J106,FM!$A:$J,3,FALSE))</f>
        <v>0</v>
      </c>
      <c r="C106" s="60">
        <f>IF(ISNA(VLOOKUP($J106,FM!$A:$J,4,FALSE)),0,VLOOKUP($J106,FM!$A:$J,4,FALSE))</f>
        <v>0</v>
      </c>
      <c r="D106" s="60">
        <f>IF(ISNA(VLOOKUP($J106,FM!$A:$J,5,FALSE)),0,VLOOKUP($J106,FM!$A:$J,5,FALSE))</f>
        <v>0</v>
      </c>
      <c r="E106" s="60">
        <f>IF(ISNA(VLOOKUP($J106,FM!$A:$J,6,FALSE)),0,VLOOKUP($J106,FM!$A:$J,6,FALSE))</f>
        <v>0</v>
      </c>
      <c r="F106" s="60">
        <f>IF(ISNA(VLOOKUP($J106,FM!$A:$J,7,FALSE)),0,VLOOKUP($J106,FM!$A:$J,7,FALSE))</f>
        <v>0</v>
      </c>
      <c r="G106" s="60">
        <f t="shared" si="21"/>
        <v>0</v>
      </c>
      <c r="H106" s="60">
        <f t="shared" si="21"/>
        <v>0</v>
      </c>
      <c r="I106" s="60">
        <f t="shared" si="22"/>
        <v>0</v>
      </c>
      <c r="J106" s="167" t="s">
        <v>869</v>
      </c>
    </row>
    <row r="107" spans="1:10" x14ac:dyDescent="0.3">
      <c r="A107" s="109" t="s">
        <v>125</v>
      </c>
      <c r="B107" s="60">
        <f>IF(ISNA(VLOOKUP($J107,FM!$A:$J,3,FALSE)),0,VLOOKUP($J107,FM!$A:$J,3,FALSE))</f>
        <v>0</v>
      </c>
      <c r="C107" s="60">
        <f>IF(ISNA(VLOOKUP($J107,FM!$A:$J,4,FALSE)),0,VLOOKUP($J107,FM!$A:$J,4,FALSE))</f>
        <v>0</v>
      </c>
      <c r="D107" s="60">
        <f>IF(ISNA(VLOOKUP($J107,FM!$A:$J,5,FALSE)),0,VLOOKUP($J107,FM!$A:$J,5,FALSE))</f>
        <v>0</v>
      </c>
      <c r="E107" s="60">
        <f>IF(ISNA(VLOOKUP($J107,FM!$A:$J,6,FALSE)),0,VLOOKUP($J107,FM!$A:$J,6,FALSE))</f>
        <v>0</v>
      </c>
      <c r="F107" s="60">
        <f>IF(ISNA(VLOOKUP($J107,FM!$A:$J,7,FALSE)),0,VLOOKUP($J107,FM!$A:$J,7,FALSE))</f>
        <v>0</v>
      </c>
      <c r="G107" s="60">
        <f t="shared" si="21"/>
        <v>0</v>
      </c>
      <c r="H107" s="60">
        <f t="shared" si="21"/>
        <v>0</v>
      </c>
      <c r="I107" s="60">
        <f t="shared" si="22"/>
        <v>0</v>
      </c>
      <c r="J107" s="167" t="s">
        <v>870</v>
      </c>
    </row>
    <row r="108" spans="1:10" x14ac:dyDescent="0.3">
      <c r="A108" s="109" t="s">
        <v>126</v>
      </c>
      <c r="B108" s="60">
        <f>IF(ISNA(VLOOKUP($J108,FM!$A:$J,3,FALSE)),0,VLOOKUP($J108,FM!$A:$J,3,FALSE))</f>
        <v>0</v>
      </c>
      <c r="C108" s="60">
        <f>IF(ISNA(VLOOKUP($J108,FM!$A:$J,4,FALSE)),0,VLOOKUP($J108,FM!$A:$J,4,FALSE))</f>
        <v>2158045.04</v>
      </c>
      <c r="D108" s="60">
        <f>IF(ISNA(VLOOKUP($J108,FM!$A:$J,5,FALSE)),0,VLOOKUP($J108,FM!$A:$J,5,FALSE))</f>
        <v>0</v>
      </c>
      <c r="E108" s="60">
        <f>IF(ISNA(VLOOKUP($J108,FM!$A:$J,6,FALSE)),0,VLOOKUP($J108,FM!$A:$J,6,FALSE))</f>
        <v>0</v>
      </c>
      <c r="F108" s="60">
        <f>IF(ISNA(VLOOKUP($J108,FM!$A:$J,7,FALSE)),0,VLOOKUP($J108,FM!$A:$J,7,FALSE))</f>
        <v>0</v>
      </c>
      <c r="G108" s="60">
        <f t="shared" si="21"/>
        <v>0</v>
      </c>
      <c r="H108" s="60">
        <f t="shared" si="21"/>
        <v>2158045.04</v>
      </c>
      <c r="I108" s="60">
        <f t="shared" si="22"/>
        <v>2158045.04</v>
      </c>
      <c r="J108" s="167" t="s">
        <v>568</v>
      </c>
    </row>
    <row r="109" spans="1:10" x14ac:dyDescent="0.3">
      <c r="A109" s="109" t="s">
        <v>127</v>
      </c>
      <c r="B109" s="60">
        <f>IF(ISNA(VLOOKUP($J109,FM!$A:$J,3,FALSE)),0,VLOOKUP($J109,FM!$A:$J,3,FALSE))</f>
        <v>0</v>
      </c>
      <c r="C109" s="60">
        <f>IF(ISNA(VLOOKUP($J109,FM!$A:$J,4,FALSE)),0,VLOOKUP($J109,FM!$A:$J,4,FALSE))</f>
        <v>-33051.040000000001</v>
      </c>
      <c r="D109" s="60">
        <f>IF(ISNA(VLOOKUP($J109,FM!$A:$J,5,FALSE)),0,VLOOKUP($J109,FM!$A:$J,5,FALSE))</f>
        <v>0</v>
      </c>
      <c r="E109" s="60">
        <f>IF(ISNA(VLOOKUP($J109,FM!$A:$J,6,FALSE)),0,VLOOKUP($J109,FM!$A:$J,6,FALSE))</f>
        <v>0</v>
      </c>
      <c r="F109" s="60">
        <f>IF(ISNA(VLOOKUP($J109,FM!$A:$J,7,FALSE)),0,VLOOKUP($J109,FM!$A:$J,7,FALSE))</f>
        <v>0</v>
      </c>
      <c r="G109" s="60">
        <f t="shared" si="21"/>
        <v>0</v>
      </c>
      <c r="H109" s="60">
        <f t="shared" si="21"/>
        <v>-33051.040000000001</v>
      </c>
      <c r="I109" s="60">
        <f t="shared" si="22"/>
        <v>-33051.040000000001</v>
      </c>
      <c r="J109" s="167" t="s">
        <v>570</v>
      </c>
    </row>
    <row r="110" spans="1:10" x14ac:dyDescent="0.3">
      <c r="A110" s="109" t="s">
        <v>128</v>
      </c>
      <c r="B110" s="60">
        <f>IF(ISNA(VLOOKUP($J110,FM!$A:$J,3,FALSE)),0,VLOOKUP($J110,FM!$A:$J,3,FALSE))</f>
        <v>0</v>
      </c>
      <c r="C110" s="60">
        <f>IF(ISNA(VLOOKUP($J110,FM!$A:$J,4,FALSE)),0,VLOOKUP($J110,FM!$A:$J,4,FALSE))</f>
        <v>535182.17000000004</v>
      </c>
      <c r="D110" s="60">
        <f>IF(ISNA(VLOOKUP($J110,FM!$A:$J,5,FALSE)),0,VLOOKUP($J110,FM!$A:$J,5,FALSE))</f>
        <v>0</v>
      </c>
      <c r="E110" s="60">
        <f>IF(ISNA(VLOOKUP($J110,FM!$A:$J,6,FALSE)),0,VLOOKUP($J110,FM!$A:$J,6,FALSE))</f>
        <v>0</v>
      </c>
      <c r="F110" s="60">
        <f>IF(ISNA(VLOOKUP($J110,FM!$A:$J,7,FALSE)),0,VLOOKUP($J110,FM!$A:$J,7,FALSE))</f>
        <v>0</v>
      </c>
      <c r="G110" s="60">
        <f t="shared" si="21"/>
        <v>0</v>
      </c>
      <c r="H110" s="60">
        <f t="shared" si="21"/>
        <v>535182.17000000004</v>
      </c>
      <c r="I110" s="60">
        <f t="shared" si="22"/>
        <v>535182.17000000004</v>
      </c>
      <c r="J110" s="167" t="s">
        <v>572</v>
      </c>
    </row>
    <row r="111" spans="1:10" x14ac:dyDescent="0.3">
      <c r="A111" s="109" t="s">
        <v>129</v>
      </c>
      <c r="B111" s="60">
        <f>IF(ISNA(VLOOKUP($J111,FM!$A:$J,3,FALSE)),0,VLOOKUP($J111,FM!$A:$J,3,FALSE))</f>
        <v>0</v>
      </c>
      <c r="C111" s="60">
        <f>IF(ISNA(VLOOKUP($J111,FM!$A:$J,4,FALSE)),0,VLOOKUP($J111,FM!$A:$J,4,FALSE))</f>
        <v>168735.38</v>
      </c>
      <c r="D111" s="60">
        <f>IF(ISNA(VLOOKUP($J111,FM!$A:$J,5,FALSE)),0,VLOOKUP($J111,FM!$A:$J,5,FALSE))</f>
        <v>0</v>
      </c>
      <c r="E111" s="60">
        <f>IF(ISNA(VLOOKUP($J111,FM!$A:$J,6,FALSE)),0,VLOOKUP($J111,FM!$A:$J,6,FALSE))</f>
        <v>0</v>
      </c>
      <c r="F111" s="60">
        <f>IF(ISNA(VLOOKUP($J111,FM!$A:$J,7,FALSE)),0,VLOOKUP($J111,FM!$A:$J,7,FALSE))</f>
        <v>0</v>
      </c>
      <c r="G111" s="60">
        <f t="shared" si="21"/>
        <v>0</v>
      </c>
      <c r="H111" s="60">
        <f t="shared" si="21"/>
        <v>168735.38</v>
      </c>
      <c r="I111" s="60">
        <f t="shared" si="22"/>
        <v>168735.38</v>
      </c>
      <c r="J111" s="167" t="s">
        <v>574</v>
      </c>
    </row>
    <row r="112" spans="1:10" x14ac:dyDescent="0.3">
      <c r="A112" s="109" t="s">
        <v>130</v>
      </c>
      <c r="B112" s="60">
        <f>IF(ISNA(VLOOKUP($J112,FM!$A:$J,3,FALSE)),0,VLOOKUP($J112,FM!$A:$J,3,FALSE))</f>
        <v>0</v>
      </c>
      <c r="C112" s="60">
        <f>IF(ISNA(VLOOKUP($J112,FM!$A:$J,4,FALSE)),0,VLOOKUP($J112,FM!$A:$J,4,FALSE))</f>
        <v>0</v>
      </c>
      <c r="D112" s="60">
        <f>IF(ISNA(VLOOKUP($J112,FM!$A:$J,5,FALSE)),0,VLOOKUP($J112,FM!$A:$J,5,FALSE))</f>
        <v>0</v>
      </c>
      <c r="E112" s="60">
        <f>IF(ISNA(VLOOKUP($J112,FM!$A:$J,6,FALSE)),0,VLOOKUP($J112,FM!$A:$J,6,FALSE))</f>
        <v>0</v>
      </c>
      <c r="F112" s="60">
        <f>IF(ISNA(VLOOKUP($J112,FM!$A:$J,7,FALSE)),0,VLOOKUP($J112,FM!$A:$J,7,FALSE))</f>
        <v>0</v>
      </c>
      <c r="G112" s="60">
        <f t="shared" si="21"/>
        <v>0</v>
      </c>
      <c r="H112" s="60">
        <f t="shared" si="21"/>
        <v>0</v>
      </c>
      <c r="I112" s="60">
        <f t="shared" si="22"/>
        <v>0</v>
      </c>
      <c r="J112" s="167" t="s">
        <v>871</v>
      </c>
    </row>
    <row r="113" spans="1:10" x14ac:dyDescent="0.3">
      <c r="A113" s="109" t="s">
        <v>131</v>
      </c>
      <c r="B113" s="60">
        <f>IF(ISNA(VLOOKUP($J113,FM!$A:$J,3,FALSE)),0,VLOOKUP($J113,FM!$A:$J,3,FALSE))</f>
        <v>0</v>
      </c>
      <c r="C113" s="60">
        <f>IF(ISNA(VLOOKUP($J113,FM!$A:$J,4,FALSE)),0,VLOOKUP($J113,FM!$A:$J,4,FALSE))</f>
        <v>17242.57</v>
      </c>
      <c r="D113" s="60">
        <f>IF(ISNA(VLOOKUP($J113,FM!$A:$J,5,FALSE)),0,VLOOKUP($J113,FM!$A:$J,5,FALSE))</f>
        <v>0</v>
      </c>
      <c r="E113" s="60">
        <f>IF(ISNA(VLOOKUP($J113,FM!$A:$J,6,FALSE)),0,VLOOKUP($J113,FM!$A:$J,6,FALSE))</f>
        <v>0</v>
      </c>
      <c r="F113" s="60">
        <f>IF(ISNA(VLOOKUP($J113,FM!$A:$J,7,FALSE)),0,VLOOKUP($J113,FM!$A:$J,7,FALSE))</f>
        <v>0</v>
      </c>
      <c r="G113" s="60">
        <f t="shared" si="21"/>
        <v>0</v>
      </c>
      <c r="H113" s="60">
        <f t="shared" si="21"/>
        <v>17242.57</v>
      </c>
      <c r="I113" s="60">
        <f t="shared" si="22"/>
        <v>17242.57</v>
      </c>
      <c r="J113" s="167" t="s">
        <v>576</v>
      </c>
    </row>
    <row r="114" spans="1:10" x14ac:dyDescent="0.3">
      <c r="A114" s="109" t="s">
        <v>132</v>
      </c>
      <c r="B114" s="60">
        <f>IF(ISNA(VLOOKUP($J114,FM!$A:$J,3,FALSE)),0,VLOOKUP($J114,FM!$A:$J,3,FALSE))</f>
        <v>0</v>
      </c>
      <c r="C114" s="60">
        <f>IF(ISNA(VLOOKUP($J114,FM!$A:$J,4,FALSE)),0,VLOOKUP($J114,FM!$A:$J,4,FALSE))</f>
        <v>40781.67</v>
      </c>
      <c r="D114" s="60">
        <f>IF(ISNA(VLOOKUP($J114,FM!$A:$J,5,FALSE)),0,VLOOKUP($J114,FM!$A:$J,5,FALSE))</f>
        <v>0</v>
      </c>
      <c r="E114" s="60">
        <f>IF(ISNA(VLOOKUP($J114,FM!$A:$J,6,FALSE)),0,VLOOKUP($J114,FM!$A:$J,6,FALSE))</f>
        <v>0</v>
      </c>
      <c r="F114" s="60">
        <f>IF(ISNA(VLOOKUP($J114,FM!$A:$J,7,FALSE)),0,VLOOKUP($J114,FM!$A:$J,7,FALSE))</f>
        <v>0</v>
      </c>
      <c r="G114" s="60">
        <f t="shared" si="21"/>
        <v>0</v>
      </c>
      <c r="H114" s="60">
        <f t="shared" si="21"/>
        <v>40781.67</v>
      </c>
      <c r="I114" s="60">
        <f t="shared" si="22"/>
        <v>40781.67</v>
      </c>
      <c r="J114" s="167" t="s">
        <v>578</v>
      </c>
    </row>
    <row r="115" spans="1:10" x14ac:dyDescent="0.3">
      <c r="A115" s="109" t="s">
        <v>133</v>
      </c>
      <c r="B115" s="60">
        <f>IF(ISNA(VLOOKUP($J115,FM!$A:$J,3,FALSE)),0,VLOOKUP($J115,FM!$A:$J,3,FALSE))</f>
        <v>0</v>
      </c>
      <c r="C115" s="60">
        <f>IF(ISNA(VLOOKUP($J115,FM!$A:$J,4,FALSE)),0,VLOOKUP($J115,FM!$A:$J,4,FALSE))</f>
        <v>274848.63</v>
      </c>
      <c r="D115" s="60">
        <f>IF(ISNA(VLOOKUP($J115,FM!$A:$J,5,FALSE)),0,VLOOKUP($J115,FM!$A:$J,5,FALSE))</f>
        <v>0</v>
      </c>
      <c r="E115" s="60">
        <f>IF(ISNA(VLOOKUP($J115,FM!$A:$J,6,FALSE)),0,VLOOKUP($J115,FM!$A:$J,6,FALSE))</f>
        <v>0</v>
      </c>
      <c r="F115" s="60">
        <f>IF(ISNA(VLOOKUP($J115,FM!$A:$J,7,FALSE)),0,VLOOKUP($J115,FM!$A:$J,7,FALSE))</f>
        <v>0</v>
      </c>
      <c r="G115" s="60">
        <f t="shared" si="21"/>
        <v>0</v>
      </c>
      <c r="H115" s="60">
        <f t="shared" si="21"/>
        <v>274848.63</v>
      </c>
      <c r="I115" s="60">
        <f t="shared" si="22"/>
        <v>274848.63</v>
      </c>
      <c r="J115" s="167" t="s">
        <v>580</v>
      </c>
    </row>
    <row r="116" spans="1:10" x14ac:dyDescent="0.3">
      <c r="A116" s="109" t="s">
        <v>134</v>
      </c>
      <c r="B116" s="60">
        <f>IF(ISNA(VLOOKUP($J116,FM!$A:$J,3,FALSE)),0,VLOOKUP($J116,FM!$A:$J,3,FALSE))</f>
        <v>0</v>
      </c>
      <c r="C116" s="60">
        <f>IF(ISNA(VLOOKUP($J116,FM!$A:$J,4,FALSE)),0,VLOOKUP($J116,FM!$A:$J,4,FALSE))</f>
        <v>34323.46</v>
      </c>
      <c r="D116" s="60">
        <f>IF(ISNA(VLOOKUP($J116,FM!$A:$J,5,FALSE)),0,VLOOKUP($J116,FM!$A:$J,5,FALSE))</f>
        <v>0</v>
      </c>
      <c r="E116" s="60">
        <f>IF(ISNA(VLOOKUP($J116,FM!$A:$J,6,FALSE)),0,VLOOKUP($J116,FM!$A:$J,6,FALSE))</f>
        <v>0</v>
      </c>
      <c r="F116" s="60">
        <f>IF(ISNA(VLOOKUP($J116,FM!$A:$J,7,FALSE)),0,VLOOKUP($J116,FM!$A:$J,7,FALSE))</f>
        <v>0</v>
      </c>
      <c r="G116" s="60">
        <f t="shared" si="21"/>
        <v>0</v>
      </c>
      <c r="H116" s="60">
        <f t="shared" si="21"/>
        <v>34323.46</v>
      </c>
      <c r="I116" s="60">
        <f t="shared" si="22"/>
        <v>34323.46</v>
      </c>
      <c r="J116" s="167" t="s">
        <v>582</v>
      </c>
    </row>
    <row r="117" spans="1:10" x14ac:dyDescent="0.3">
      <c r="A117" s="109" t="s">
        <v>135</v>
      </c>
      <c r="B117" s="60">
        <f>IF(ISNA(VLOOKUP($J117,FM!$A:$J,3,FALSE)),0,VLOOKUP($J117,FM!$A:$J,3,FALSE))</f>
        <v>0</v>
      </c>
      <c r="C117" s="60">
        <f>IF(ISNA(VLOOKUP($J117,FM!$A:$J,4,FALSE)),0,VLOOKUP($J117,FM!$A:$J,4,FALSE))</f>
        <v>6045.32</v>
      </c>
      <c r="D117" s="60">
        <f>IF(ISNA(VLOOKUP($J117,FM!$A:$J,5,FALSE)),0,VLOOKUP($J117,FM!$A:$J,5,FALSE))</f>
        <v>0</v>
      </c>
      <c r="E117" s="60">
        <f>IF(ISNA(VLOOKUP($J117,FM!$A:$J,6,FALSE)),0,VLOOKUP($J117,FM!$A:$J,6,FALSE))</f>
        <v>0</v>
      </c>
      <c r="F117" s="60">
        <f>IF(ISNA(VLOOKUP($J117,FM!$A:$J,7,FALSE)),0,VLOOKUP($J117,FM!$A:$J,7,FALSE))</f>
        <v>0</v>
      </c>
      <c r="G117" s="60">
        <f t="shared" si="21"/>
        <v>0</v>
      </c>
      <c r="H117" s="60">
        <f t="shared" si="21"/>
        <v>6045.32</v>
      </c>
      <c r="I117" s="60">
        <f t="shared" si="22"/>
        <v>6045.32</v>
      </c>
      <c r="J117" s="167" t="s">
        <v>584</v>
      </c>
    </row>
    <row r="118" spans="1:10" x14ac:dyDescent="0.3">
      <c r="A118" s="109" t="s">
        <v>136</v>
      </c>
      <c r="B118" s="60">
        <f>IF(ISNA(VLOOKUP($J118,FM!$A:$J,3,FALSE)),0,VLOOKUP($J118,FM!$A:$J,3,FALSE))</f>
        <v>0</v>
      </c>
      <c r="C118" s="60">
        <f>IF(ISNA(VLOOKUP($J118,FM!$A:$J,4,FALSE)),0,VLOOKUP($J118,FM!$A:$J,4,FALSE))</f>
        <v>2999.48</v>
      </c>
      <c r="D118" s="60">
        <f>IF(ISNA(VLOOKUP($J118,FM!$A:$J,5,FALSE)),0,VLOOKUP($J118,FM!$A:$J,5,FALSE))</f>
        <v>0</v>
      </c>
      <c r="E118" s="60">
        <f>IF(ISNA(VLOOKUP($J118,FM!$A:$J,6,FALSE)),0,VLOOKUP($J118,FM!$A:$J,6,FALSE))</f>
        <v>0</v>
      </c>
      <c r="F118" s="60">
        <f>IF(ISNA(VLOOKUP($J118,FM!$A:$J,7,FALSE)),0,VLOOKUP($J118,FM!$A:$J,7,FALSE))</f>
        <v>0</v>
      </c>
      <c r="G118" s="60">
        <f t="shared" si="21"/>
        <v>0</v>
      </c>
      <c r="H118" s="60">
        <f t="shared" si="21"/>
        <v>2999.48</v>
      </c>
      <c r="I118" s="60">
        <f t="shared" si="22"/>
        <v>2999.48</v>
      </c>
      <c r="J118" s="167" t="s">
        <v>872</v>
      </c>
    </row>
    <row r="119" spans="1:10" x14ac:dyDescent="0.3">
      <c r="A119" s="109" t="s">
        <v>137</v>
      </c>
      <c r="B119" s="60">
        <f>IF(ISNA(VLOOKUP($J119,FM!$A:$J,3,FALSE)),0,VLOOKUP($J119,FM!$A:$J,3,FALSE))</f>
        <v>0</v>
      </c>
      <c r="C119" s="60">
        <f>IF(ISNA(VLOOKUP($J119,FM!$A:$J,4,FALSE)),0,VLOOKUP($J119,FM!$A:$J,4,FALSE))</f>
        <v>0</v>
      </c>
      <c r="D119" s="60">
        <f>IF(ISNA(VLOOKUP($J119,FM!$A:$J,5,FALSE)),0,VLOOKUP($J119,FM!$A:$J,5,FALSE))</f>
        <v>0</v>
      </c>
      <c r="E119" s="60">
        <f>IF(ISNA(VLOOKUP($J119,FM!$A:$J,6,FALSE)),0,VLOOKUP($J119,FM!$A:$J,6,FALSE))</f>
        <v>0</v>
      </c>
      <c r="F119" s="60">
        <f>IF(ISNA(VLOOKUP($J119,FM!$A:$J,7,FALSE)),0,VLOOKUP($J119,FM!$A:$J,7,FALSE))</f>
        <v>0</v>
      </c>
      <c r="G119" s="60">
        <f t="shared" si="21"/>
        <v>0</v>
      </c>
      <c r="H119" s="60">
        <f t="shared" si="21"/>
        <v>0</v>
      </c>
      <c r="I119" s="60">
        <f t="shared" si="22"/>
        <v>0</v>
      </c>
      <c r="J119" s="167" t="s">
        <v>873</v>
      </c>
    </row>
    <row r="120" spans="1:10" x14ac:dyDescent="0.3">
      <c r="A120" s="109" t="s">
        <v>138</v>
      </c>
      <c r="B120" s="60">
        <f>IF(ISNA(VLOOKUP($J120,FM!$A:$J,3,FALSE)),0,VLOOKUP($J120,FM!$A:$J,3,FALSE))</f>
        <v>0</v>
      </c>
      <c r="C120" s="60">
        <f>IF(ISNA(VLOOKUP($J120,FM!$A:$J,4,FALSE)),0,VLOOKUP($J120,FM!$A:$J,4,FALSE))</f>
        <v>71269</v>
      </c>
      <c r="D120" s="60">
        <f>IF(ISNA(VLOOKUP($J120,FM!$A:$J,5,FALSE)),0,VLOOKUP($J120,FM!$A:$J,5,FALSE))</f>
        <v>0</v>
      </c>
      <c r="E120" s="60">
        <f>IF(ISNA(VLOOKUP($J120,FM!$A:$J,6,FALSE)),0,VLOOKUP($J120,FM!$A:$J,6,FALSE))</f>
        <v>0</v>
      </c>
      <c r="F120" s="60">
        <f>IF(ISNA(VLOOKUP($J120,FM!$A:$J,7,FALSE)),0,VLOOKUP($J120,FM!$A:$J,7,FALSE))</f>
        <v>0</v>
      </c>
      <c r="G120" s="60">
        <f t="shared" si="21"/>
        <v>0</v>
      </c>
      <c r="H120" s="60">
        <f t="shared" si="21"/>
        <v>71269</v>
      </c>
      <c r="I120" s="60">
        <f t="shared" si="22"/>
        <v>71269</v>
      </c>
      <c r="J120" s="167" t="s">
        <v>586</v>
      </c>
    </row>
    <row r="121" spans="1:10" x14ac:dyDescent="0.3">
      <c r="A121" s="109" t="s">
        <v>139</v>
      </c>
      <c r="B121" s="60">
        <f>IF(ISNA(VLOOKUP($J121,FM!$A:$J,3,FALSE)),0,VLOOKUP($J121,FM!$A:$J,3,FALSE))</f>
        <v>0</v>
      </c>
      <c r="C121" s="60">
        <f>IF(ISNA(VLOOKUP($J121,FM!$A:$J,4,FALSE)),0,VLOOKUP($J121,FM!$A:$J,4,FALSE))</f>
        <v>33884.839999999997</v>
      </c>
      <c r="D121" s="60">
        <f>IF(ISNA(VLOOKUP($J121,FM!$A:$J,5,FALSE)),0,VLOOKUP($J121,FM!$A:$J,5,FALSE))</f>
        <v>0</v>
      </c>
      <c r="E121" s="60">
        <f>IF(ISNA(VLOOKUP($J121,FM!$A:$J,6,FALSE)),0,VLOOKUP($J121,FM!$A:$J,6,FALSE))</f>
        <v>0</v>
      </c>
      <c r="F121" s="60">
        <f>IF(ISNA(VLOOKUP($J121,FM!$A:$J,7,FALSE)),0,VLOOKUP($J121,FM!$A:$J,7,FALSE))</f>
        <v>0</v>
      </c>
      <c r="G121" s="60">
        <f t="shared" si="21"/>
        <v>0</v>
      </c>
      <c r="H121" s="60">
        <f t="shared" si="21"/>
        <v>33884.839999999997</v>
      </c>
      <c r="I121" s="60">
        <f t="shared" si="22"/>
        <v>33884.839999999997</v>
      </c>
      <c r="J121" s="167" t="s">
        <v>588</v>
      </c>
    </row>
    <row r="122" spans="1:10" x14ac:dyDescent="0.3">
      <c r="A122" s="109" t="s">
        <v>140</v>
      </c>
      <c r="B122" s="60">
        <f>IF(ISNA(VLOOKUP($J122,FM!$A:$J,3,FALSE)),0,VLOOKUP($J122,FM!$A:$J,3,FALSE))</f>
        <v>0</v>
      </c>
      <c r="C122" s="60">
        <f>IF(ISNA(VLOOKUP($J122,FM!$A:$J,4,FALSE)),0,VLOOKUP($J122,FM!$A:$J,4,FALSE))</f>
        <v>0</v>
      </c>
      <c r="D122" s="60">
        <f>IF(ISNA(VLOOKUP($J122,FM!$A:$J,5,FALSE)),0,VLOOKUP($J122,FM!$A:$J,5,FALSE))</f>
        <v>0</v>
      </c>
      <c r="E122" s="60">
        <f>IF(ISNA(VLOOKUP($J122,FM!$A:$J,6,FALSE)),0,VLOOKUP($J122,FM!$A:$J,6,FALSE))</f>
        <v>0</v>
      </c>
      <c r="F122" s="60">
        <f>IF(ISNA(VLOOKUP($J122,FM!$A:$J,7,FALSE)),0,VLOOKUP($J122,FM!$A:$J,7,FALSE))</f>
        <v>0</v>
      </c>
      <c r="G122" s="60">
        <f t="shared" si="21"/>
        <v>0</v>
      </c>
      <c r="H122" s="60">
        <f t="shared" si="21"/>
        <v>0</v>
      </c>
      <c r="I122" s="60">
        <f t="shared" si="22"/>
        <v>0</v>
      </c>
      <c r="J122" s="167" t="s">
        <v>874</v>
      </c>
    </row>
    <row r="123" spans="1:10" x14ac:dyDescent="0.3">
      <c r="A123" s="109" t="s">
        <v>141</v>
      </c>
      <c r="B123" s="60">
        <f>IF(ISNA(VLOOKUP($J123,FM!$A:$J,3,FALSE)),0,VLOOKUP($J123,FM!$A:$J,3,FALSE))</f>
        <v>0</v>
      </c>
      <c r="C123" s="60">
        <f>IF(ISNA(VLOOKUP($J123,FM!$A:$J,4,FALSE)),0,VLOOKUP($J123,FM!$A:$J,4,FALSE))</f>
        <v>145687.63</v>
      </c>
      <c r="D123" s="60">
        <f>IF(ISNA(VLOOKUP($J123,FM!$A:$J,5,FALSE)),0,VLOOKUP($J123,FM!$A:$J,5,FALSE))</f>
        <v>0</v>
      </c>
      <c r="E123" s="60">
        <f>IF(ISNA(VLOOKUP($J123,FM!$A:$J,6,FALSE)),0,VLOOKUP($J123,FM!$A:$J,6,FALSE))</f>
        <v>0</v>
      </c>
      <c r="F123" s="60">
        <f>IF(ISNA(VLOOKUP($J123,FM!$A:$J,7,FALSE)),0,VLOOKUP($J123,FM!$A:$J,7,FALSE))</f>
        <v>0</v>
      </c>
      <c r="G123" s="60">
        <f t="shared" si="21"/>
        <v>0</v>
      </c>
      <c r="H123" s="60">
        <f t="shared" si="21"/>
        <v>145687.63</v>
      </c>
      <c r="I123" s="60">
        <f t="shared" si="22"/>
        <v>145687.63</v>
      </c>
      <c r="J123" s="167" t="s">
        <v>589</v>
      </c>
    </row>
    <row r="124" spans="1:10" x14ac:dyDescent="0.3">
      <c r="A124" s="109" t="s">
        <v>142</v>
      </c>
      <c r="B124" s="60">
        <f>IF(ISNA(VLOOKUP($J124,FM!$A:$J,3,FALSE)),0,VLOOKUP($J124,FM!$A:$J,3,FALSE))</f>
        <v>0</v>
      </c>
      <c r="C124" s="60">
        <f>IF(ISNA(VLOOKUP($J124,FM!$A:$J,4,FALSE)),0,VLOOKUP($J124,FM!$A:$J,4,FALSE))</f>
        <v>103136.58</v>
      </c>
      <c r="D124" s="60">
        <f>IF(ISNA(VLOOKUP($J124,FM!$A:$J,5,FALSE)),0,VLOOKUP($J124,FM!$A:$J,5,FALSE))</f>
        <v>0</v>
      </c>
      <c r="E124" s="60">
        <f>IF(ISNA(VLOOKUP($J124,FM!$A:$J,6,FALSE)),0,VLOOKUP($J124,FM!$A:$J,6,FALSE))</f>
        <v>0</v>
      </c>
      <c r="F124" s="60">
        <f>IF(ISNA(VLOOKUP($J124,FM!$A:$J,7,FALSE)),0,VLOOKUP($J124,FM!$A:$J,7,FALSE))</f>
        <v>0</v>
      </c>
      <c r="G124" s="60">
        <f t="shared" si="21"/>
        <v>0</v>
      </c>
      <c r="H124" s="60">
        <f t="shared" si="21"/>
        <v>103136.58</v>
      </c>
      <c r="I124" s="60">
        <f t="shared" si="22"/>
        <v>103136.58</v>
      </c>
      <c r="J124" s="167" t="s">
        <v>591</v>
      </c>
    </row>
    <row r="125" spans="1:10" x14ac:dyDescent="0.3">
      <c r="A125" s="109" t="s">
        <v>143</v>
      </c>
      <c r="B125" s="60">
        <f>IF(ISNA(VLOOKUP($J125,FM!$A:$J,3,FALSE)),0,VLOOKUP($J125,FM!$A:$J,3,FALSE))</f>
        <v>0</v>
      </c>
      <c r="C125" s="60">
        <f>IF(ISNA(VLOOKUP($J125,FM!$A:$J,4,FALSE)),0,VLOOKUP($J125,FM!$A:$J,4,FALSE))</f>
        <v>1247565.6399999999</v>
      </c>
      <c r="D125" s="60">
        <f>IF(ISNA(VLOOKUP($J125,FM!$A:$J,5,FALSE)),0,VLOOKUP($J125,FM!$A:$J,5,FALSE))</f>
        <v>0</v>
      </c>
      <c r="E125" s="60">
        <f>IF(ISNA(VLOOKUP($J125,FM!$A:$J,6,FALSE)),0,VLOOKUP($J125,FM!$A:$J,6,FALSE))</f>
        <v>0</v>
      </c>
      <c r="F125" s="60">
        <f>IF(ISNA(VLOOKUP($J125,FM!$A:$J,7,FALSE)),0,VLOOKUP($J125,FM!$A:$J,7,FALSE))</f>
        <v>0</v>
      </c>
      <c r="G125" s="60">
        <f t="shared" si="21"/>
        <v>0</v>
      </c>
      <c r="H125" s="60">
        <f t="shared" si="21"/>
        <v>1247565.6399999999</v>
      </c>
      <c r="I125" s="60">
        <f t="shared" si="22"/>
        <v>1247565.6399999999</v>
      </c>
      <c r="J125" s="167" t="s">
        <v>593</v>
      </c>
    </row>
    <row r="126" spans="1:10" x14ac:dyDescent="0.3">
      <c r="A126" s="109" t="s">
        <v>144</v>
      </c>
      <c r="B126" s="60">
        <f>IF(ISNA(VLOOKUP($J126,FM!$A:$J,3,FALSE)),0,VLOOKUP($J126,FM!$A:$J,3,FALSE))</f>
        <v>0</v>
      </c>
      <c r="C126" s="60">
        <f>IF(ISNA(VLOOKUP($J126,FM!$A:$J,4,FALSE)),0,VLOOKUP($J126,FM!$A:$J,4,FALSE))</f>
        <v>14603.62</v>
      </c>
      <c r="D126" s="60">
        <f>IF(ISNA(VLOOKUP($J126,FM!$A:$J,5,FALSE)),0,VLOOKUP($J126,FM!$A:$J,5,FALSE))</f>
        <v>0</v>
      </c>
      <c r="E126" s="60">
        <f>IF(ISNA(VLOOKUP($J126,FM!$A:$J,6,FALSE)),0,VLOOKUP($J126,FM!$A:$J,6,FALSE))</f>
        <v>0</v>
      </c>
      <c r="F126" s="60">
        <f>IF(ISNA(VLOOKUP($J126,FM!$A:$J,7,FALSE)),0,VLOOKUP($J126,FM!$A:$J,7,FALSE))</f>
        <v>0</v>
      </c>
      <c r="G126" s="60">
        <f t="shared" si="21"/>
        <v>0</v>
      </c>
      <c r="H126" s="60">
        <f t="shared" si="21"/>
        <v>14603.62</v>
      </c>
      <c r="I126" s="60">
        <f t="shared" si="22"/>
        <v>14603.62</v>
      </c>
      <c r="J126" s="167" t="s">
        <v>595</v>
      </c>
    </row>
    <row r="127" spans="1:10" x14ac:dyDescent="0.3">
      <c r="A127" s="109" t="s">
        <v>145</v>
      </c>
      <c r="B127" s="60">
        <f>IF(ISNA(VLOOKUP($J127,FM!$A:$J,3,FALSE)),0,VLOOKUP($J127,FM!$A:$J,3,FALSE))</f>
        <v>0</v>
      </c>
      <c r="C127" s="60">
        <f>IF(ISNA(VLOOKUP($J127,FM!$A:$J,4,FALSE)),0,VLOOKUP($J127,FM!$A:$J,4,FALSE))</f>
        <v>431386.66</v>
      </c>
      <c r="D127" s="60">
        <f>IF(ISNA(VLOOKUP($J127,FM!$A:$J,5,FALSE)),0,VLOOKUP($J127,FM!$A:$J,5,FALSE))</f>
        <v>0</v>
      </c>
      <c r="E127" s="60">
        <f>IF(ISNA(VLOOKUP($J127,FM!$A:$J,6,FALSE)),0,VLOOKUP($J127,FM!$A:$J,6,FALSE))</f>
        <v>0</v>
      </c>
      <c r="F127" s="60">
        <f>IF(ISNA(VLOOKUP($J127,FM!$A:$J,7,FALSE)),0,VLOOKUP($J127,FM!$A:$J,7,FALSE))</f>
        <v>0</v>
      </c>
      <c r="G127" s="60">
        <f t="shared" si="21"/>
        <v>0</v>
      </c>
      <c r="H127" s="60">
        <f t="shared" si="21"/>
        <v>431386.66</v>
      </c>
      <c r="I127" s="60">
        <f t="shared" si="22"/>
        <v>431386.66</v>
      </c>
      <c r="J127" s="167" t="s">
        <v>596</v>
      </c>
    </row>
    <row r="128" spans="1:10" x14ac:dyDescent="0.3">
      <c r="A128" s="109" t="s">
        <v>146</v>
      </c>
      <c r="B128" s="60">
        <f>IF(ISNA(VLOOKUP($J128,FM!$A:$J,3,FALSE)),0,VLOOKUP($J128,FM!$A:$J,3,FALSE))</f>
        <v>0</v>
      </c>
      <c r="C128" s="60">
        <f>IF(ISNA(VLOOKUP($J128,FM!$A:$J,4,FALSE)),0,VLOOKUP($J128,FM!$A:$J,4,FALSE))</f>
        <v>0</v>
      </c>
      <c r="D128" s="60">
        <f>IF(ISNA(VLOOKUP($J128,FM!$A:$J,5,FALSE)),0,VLOOKUP($J128,FM!$A:$J,5,FALSE))</f>
        <v>0</v>
      </c>
      <c r="E128" s="60">
        <f>IF(ISNA(VLOOKUP($J128,FM!$A:$J,6,FALSE)),0,VLOOKUP($J128,FM!$A:$J,6,FALSE))</f>
        <v>0</v>
      </c>
      <c r="F128" s="60">
        <f>IF(ISNA(VLOOKUP($J128,FM!$A:$J,7,FALSE)),0,VLOOKUP($J128,FM!$A:$J,7,FALSE))</f>
        <v>0</v>
      </c>
      <c r="G128" s="60">
        <f t="shared" si="21"/>
        <v>0</v>
      </c>
      <c r="H128" s="60">
        <f t="shared" si="21"/>
        <v>0</v>
      </c>
      <c r="I128" s="60">
        <f t="shared" si="22"/>
        <v>0</v>
      </c>
      <c r="J128" s="167" t="s">
        <v>875</v>
      </c>
    </row>
    <row r="129" spans="1:10" x14ac:dyDescent="0.3">
      <c r="A129" s="109" t="s">
        <v>147</v>
      </c>
      <c r="B129" s="60">
        <f>IF(ISNA(VLOOKUP($J129,FM!$A:$J,3,FALSE)),0,VLOOKUP($J129,FM!$A:$J,3,FALSE))</f>
        <v>0</v>
      </c>
      <c r="C129" s="60">
        <f>IF(ISNA(VLOOKUP($J129,FM!$A:$J,4,FALSE)),0,VLOOKUP($J129,FM!$A:$J,4,FALSE))</f>
        <v>140700.07999999999</v>
      </c>
      <c r="D129" s="60">
        <f>IF(ISNA(VLOOKUP($J129,FM!$A:$J,5,FALSE)),0,VLOOKUP($J129,FM!$A:$J,5,FALSE))</f>
        <v>0</v>
      </c>
      <c r="E129" s="60">
        <f>IF(ISNA(VLOOKUP($J129,FM!$A:$J,6,FALSE)),0,VLOOKUP($J129,FM!$A:$J,6,FALSE))</f>
        <v>0</v>
      </c>
      <c r="F129" s="60">
        <f>IF(ISNA(VLOOKUP($J129,FM!$A:$J,7,FALSE)),0,VLOOKUP($J129,FM!$A:$J,7,FALSE))</f>
        <v>0</v>
      </c>
      <c r="G129" s="60">
        <f t="shared" si="21"/>
        <v>0</v>
      </c>
      <c r="H129" s="60">
        <f t="shared" si="21"/>
        <v>140700.07999999999</v>
      </c>
      <c r="I129" s="60">
        <f t="shared" si="22"/>
        <v>140700.07999999999</v>
      </c>
      <c r="J129" s="167" t="s">
        <v>598</v>
      </c>
    </row>
    <row r="130" spans="1:10" x14ac:dyDescent="0.3">
      <c r="A130" s="109" t="s">
        <v>148</v>
      </c>
      <c r="B130" s="60">
        <f>IF(ISNA(VLOOKUP($J130,FM!$A:$J,3,FALSE)),0,VLOOKUP($J130,FM!$A:$J,3,FALSE))</f>
        <v>0</v>
      </c>
      <c r="C130" s="60">
        <f>IF(ISNA(VLOOKUP($J130,FM!$A:$J,4,FALSE)),0,VLOOKUP($J130,FM!$A:$J,4,FALSE))</f>
        <v>11581.39</v>
      </c>
      <c r="D130" s="60">
        <f>IF(ISNA(VLOOKUP($J130,FM!$A:$J,5,FALSE)),0,VLOOKUP($J130,FM!$A:$J,5,FALSE))</f>
        <v>0</v>
      </c>
      <c r="E130" s="60">
        <f>IF(ISNA(VLOOKUP($J130,FM!$A:$J,6,FALSE)),0,VLOOKUP($J130,FM!$A:$J,6,FALSE))</f>
        <v>0</v>
      </c>
      <c r="F130" s="60">
        <f>IF(ISNA(VLOOKUP($J130,FM!$A:$J,7,FALSE)),0,VLOOKUP($J130,FM!$A:$J,7,FALSE))</f>
        <v>0</v>
      </c>
      <c r="G130" s="60">
        <f t="shared" si="21"/>
        <v>0</v>
      </c>
      <c r="H130" s="60">
        <f t="shared" si="21"/>
        <v>11581.39</v>
      </c>
      <c r="I130" s="60">
        <f t="shared" si="22"/>
        <v>11581.39</v>
      </c>
      <c r="J130" s="167" t="s">
        <v>600</v>
      </c>
    </row>
    <row r="131" spans="1:10" x14ac:dyDescent="0.3">
      <c r="A131" s="109" t="s">
        <v>149</v>
      </c>
      <c r="B131" s="60">
        <f>IF(ISNA(VLOOKUP($J131,FM!$A:$J,3,FALSE)),0,VLOOKUP($J131,FM!$A:$J,3,FALSE))</f>
        <v>0</v>
      </c>
      <c r="C131" s="60">
        <f>IF(ISNA(VLOOKUP($J131,FM!$A:$J,4,FALSE)),0,VLOOKUP($J131,FM!$A:$J,4,FALSE))</f>
        <v>842487.54</v>
      </c>
      <c r="D131" s="60">
        <f>IF(ISNA(VLOOKUP($J131,FM!$A:$J,5,FALSE)),0,VLOOKUP($J131,FM!$A:$J,5,FALSE))</f>
        <v>0</v>
      </c>
      <c r="E131" s="60">
        <f>IF(ISNA(VLOOKUP($J131,FM!$A:$J,6,FALSE)),0,VLOOKUP($J131,FM!$A:$J,6,FALSE))</f>
        <v>0</v>
      </c>
      <c r="F131" s="60">
        <f>IF(ISNA(VLOOKUP($J131,FM!$A:$J,7,FALSE)),0,VLOOKUP($J131,FM!$A:$J,7,FALSE))</f>
        <v>0</v>
      </c>
      <c r="G131" s="60">
        <f t="shared" si="21"/>
        <v>0</v>
      </c>
      <c r="H131" s="60">
        <f t="shared" si="21"/>
        <v>842487.54</v>
      </c>
      <c r="I131" s="60">
        <f t="shared" si="22"/>
        <v>842487.54</v>
      </c>
      <c r="J131" s="167" t="s">
        <v>602</v>
      </c>
    </row>
    <row r="132" spans="1:10" x14ac:dyDescent="0.3">
      <c r="A132" s="109" t="s">
        <v>150</v>
      </c>
      <c r="B132" s="60">
        <f>IF(ISNA(VLOOKUP($J132,FM!$A:$J,3,FALSE)),0,VLOOKUP($J132,FM!$A:$J,3,FALSE))</f>
        <v>0</v>
      </c>
      <c r="C132" s="60">
        <f>IF(ISNA(VLOOKUP($J132,FM!$A:$J,4,FALSE)),0,VLOOKUP($J132,FM!$A:$J,4,FALSE))</f>
        <v>0</v>
      </c>
      <c r="D132" s="60">
        <f>IF(ISNA(VLOOKUP($J132,FM!$A:$J,5,FALSE)),0,VLOOKUP($J132,FM!$A:$J,5,FALSE))</f>
        <v>0</v>
      </c>
      <c r="E132" s="60">
        <f>IF(ISNA(VLOOKUP($J132,FM!$A:$J,6,FALSE)),0,VLOOKUP($J132,FM!$A:$J,6,FALSE))</f>
        <v>0</v>
      </c>
      <c r="F132" s="60">
        <f>IF(ISNA(VLOOKUP($J132,FM!$A:$J,7,FALSE)),0,VLOOKUP($J132,FM!$A:$J,7,FALSE))</f>
        <v>0</v>
      </c>
      <c r="G132" s="60">
        <f t="shared" si="21"/>
        <v>0</v>
      </c>
      <c r="H132" s="60">
        <f t="shared" si="21"/>
        <v>0</v>
      </c>
      <c r="I132" s="60">
        <f t="shared" si="22"/>
        <v>0</v>
      </c>
      <c r="J132" s="167" t="s">
        <v>876</v>
      </c>
    </row>
    <row r="133" spans="1:10" x14ac:dyDescent="0.3">
      <c r="A133" s="109" t="s">
        <v>151</v>
      </c>
      <c r="B133" s="60">
        <f>IF(ISNA(VLOOKUP($J133,FM!$A:$J,3,FALSE)),0,VLOOKUP($J133,FM!$A:$J,3,FALSE))</f>
        <v>0</v>
      </c>
      <c r="C133" s="60">
        <f>IF(ISNA(VLOOKUP($J133,FM!$A:$J,4,FALSE)),0,VLOOKUP($J133,FM!$A:$J,4,FALSE))</f>
        <v>0</v>
      </c>
      <c r="D133" s="60">
        <f>IF(ISNA(VLOOKUP($J133,FM!$A:$J,5,FALSE)),0,VLOOKUP($J133,FM!$A:$J,5,FALSE))</f>
        <v>0</v>
      </c>
      <c r="E133" s="60">
        <f>IF(ISNA(VLOOKUP($J133,FM!$A:$J,6,FALSE)),0,VLOOKUP($J133,FM!$A:$J,6,FALSE))</f>
        <v>0</v>
      </c>
      <c r="F133" s="60">
        <f>IF(ISNA(VLOOKUP($J133,FM!$A:$J,7,FALSE)),0,VLOOKUP($J133,FM!$A:$J,7,FALSE))</f>
        <v>0</v>
      </c>
      <c r="G133" s="60">
        <f t="shared" si="21"/>
        <v>0</v>
      </c>
      <c r="H133" s="60">
        <f t="shared" si="21"/>
        <v>0</v>
      </c>
      <c r="I133" s="60">
        <f t="shared" si="22"/>
        <v>0</v>
      </c>
      <c r="J133" s="167" t="s">
        <v>877</v>
      </c>
    </row>
    <row r="134" spans="1:10" x14ac:dyDescent="0.3">
      <c r="A134" s="109" t="s">
        <v>152</v>
      </c>
      <c r="B134" s="60">
        <f>IF(ISNA(VLOOKUP($J134,FM!$A:$J,3,FALSE)),0,VLOOKUP($J134,FM!$A:$J,3,FALSE))</f>
        <v>0</v>
      </c>
      <c r="C134" s="60">
        <f>IF(ISNA(VLOOKUP($J134,FM!$A:$J,4,FALSE)),0,VLOOKUP($J134,FM!$A:$J,4,FALSE))</f>
        <v>0</v>
      </c>
      <c r="D134" s="60">
        <f>IF(ISNA(VLOOKUP($J134,FM!$A:$J,5,FALSE)),0,VLOOKUP($J134,FM!$A:$J,5,FALSE))</f>
        <v>0</v>
      </c>
      <c r="E134" s="60">
        <f>IF(ISNA(VLOOKUP($J134,FM!$A:$J,6,FALSE)),0,VLOOKUP($J134,FM!$A:$J,6,FALSE))</f>
        <v>0</v>
      </c>
      <c r="F134" s="60">
        <f>IF(ISNA(VLOOKUP($J134,FM!$A:$J,7,FALSE)),0,VLOOKUP($J134,FM!$A:$J,7,FALSE))</f>
        <v>0</v>
      </c>
      <c r="G134" s="60">
        <f t="shared" si="21"/>
        <v>0</v>
      </c>
      <c r="H134" s="60">
        <f t="shared" si="21"/>
        <v>0</v>
      </c>
      <c r="I134" s="60">
        <f t="shared" si="22"/>
        <v>0</v>
      </c>
      <c r="J134" s="167" t="s">
        <v>878</v>
      </c>
    </row>
    <row r="135" spans="1:10" x14ac:dyDescent="0.3">
      <c r="A135" s="109" t="s">
        <v>153</v>
      </c>
      <c r="B135" s="60">
        <f>IF(ISNA(VLOOKUP($J135,FM!$A:$J,3,FALSE)),0,VLOOKUP($J135,FM!$A:$J,3,FALSE))</f>
        <v>0</v>
      </c>
      <c r="C135" s="60">
        <f>IF(ISNA(VLOOKUP($J135,FM!$A:$J,4,FALSE)),0,VLOOKUP($J135,FM!$A:$J,4,FALSE))</f>
        <v>0</v>
      </c>
      <c r="D135" s="60">
        <f>IF(ISNA(VLOOKUP($J135,FM!$A:$J,5,FALSE)),0,VLOOKUP($J135,FM!$A:$J,5,FALSE))</f>
        <v>0</v>
      </c>
      <c r="E135" s="60">
        <f>IF(ISNA(VLOOKUP($J135,FM!$A:$J,6,FALSE)),0,VLOOKUP($J135,FM!$A:$J,6,FALSE))</f>
        <v>0</v>
      </c>
      <c r="F135" s="60">
        <f>IF(ISNA(VLOOKUP($J135,FM!$A:$J,7,FALSE)),0,VLOOKUP($J135,FM!$A:$J,7,FALSE))</f>
        <v>0</v>
      </c>
      <c r="G135" s="60">
        <f t="shared" ref="G135:H137" si="23">B135+E135</f>
        <v>0</v>
      </c>
      <c r="H135" s="60">
        <f t="shared" si="23"/>
        <v>0</v>
      </c>
      <c r="I135" s="60">
        <f t="shared" ref="I135:I137" si="24">SUM(G135:H135)</f>
        <v>0</v>
      </c>
      <c r="J135" s="167" t="s">
        <v>879</v>
      </c>
    </row>
    <row r="136" spans="1:10" x14ac:dyDescent="0.3">
      <c r="A136" s="109" t="s">
        <v>154</v>
      </c>
      <c r="B136" s="60">
        <f>IF(ISNA(VLOOKUP($J136,FM!$A:$J,3,FALSE)),0,VLOOKUP($J136,FM!$A:$J,3,FALSE))</f>
        <v>0</v>
      </c>
      <c r="C136" s="60">
        <f>IF(ISNA(VLOOKUP($J136,FM!$A:$J,4,FALSE)),0,VLOOKUP($J136,FM!$A:$J,4,FALSE))</f>
        <v>0</v>
      </c>
      <c r="D136" s="60">
        <f>IF(ISNA(VLOOKUP($J136,FM!$A:$J,5,FALSE)),0,VLOOKUP($J136,FM!$A:$J,5,FALSE))</f>
        <v>0</v>
      </c>
      <c r="E136" s="60">
        <f>IF(ISNA(VLOOKUP($J136,FM!$A:$J,6,FALSE)),0,VLOOKUP($J136,FM!$A:$J,6,FALSE))</f>
        <v>0</v>
      </c>
      <c r="F136" s="60">
        <f>IF(ISNA(VLOOKUP($J136,FM!$A:$J,7,FALSE)),0,VLOOKUP($J136,FM!$A:$J,7,FALSE))</f>
        <v>0</v>
      </c>
      <c r="G136" s="60">
        <f t="shared" si="23"/>
        <v>0</v>
      </c>
      <c r="H136" s="60">
        <f t="shared" si="23"/>
        <v>0</v>
      </c>
      <c r="I136" s="60">
        <f t="shared" si="24"/>
        <v>0</v>
      </c>
      <c r="J136" s="167" t="s">
        <v>880</v>
      </c>
    </row>
    <row r="137" spans="1:10" x14ac:dyDescent="0.3">
      <c r="A137" s="109" t="s">
        <v>923</v>
      </c>
      <c r="B137" s="163">
        <f>IF(ISNA(VLOOKUP($J137,FM!$A:$J,3,FALSE)),0,VLOOKUP($J137,FM!$A:$J,3,FALSE))</f>
        <v>0</v>
      </c>
      <c r="C137" s="163">
        <f>IF(ISNA(VLOOKUP($J137,FM!$A:$J,4,FALSE)),0,VLOOKUP($J137,FM!$A:$J,4,FALSE))</f>
        <v>404.84</v>
      </c>
      <c r="D137" s="163">
        <f>IF(ISNA(VLOOKUP($J137,FM!$A:$J,5,FALSE)),0,VLOOKUP($J137,FM!$A:$J,5,FALSE))</f>
        <v>0</v>
      </c>
      <c r="E137" s="163">
        <f>IF(ISNA(VLOOKUP($J137,FM!$A:$J,6,FALSE)),0,VLOOKUP($J137,FM!$A:$J,6,FALSE))</f>
        <v>0</v>
      </c>
      <c r="F137" s="163">
        <f>IF(ISNA(VLOOKUP($J137,FM!$A:$J,7,FALSE)),0,VLOOKUP($J137,FM!$A:$J,7,FALSE))</f>
        <v>0</v>
      </c>
      <c r="G137" s="163">
        <f t="shared" si="23"/>
        <v>0</v>
      </c>
      <c r="H137" s="163">
        <f t="shared" si="23"/>
        <v>404.84</v>
      </c>
      <c r="I137" s="163">
        <f t="shared" si="24"/>
        <v>404.84</v>
      </c>
      <c r="J137" s="167" t="s">
        <v>604</v>
      </c>
    </row>
    <row r="138" spans="1:10" x14ac:dyDescent="0.3">
      <c r="A138" s="109" t="s">
        <v>155</v>
      </c>
      <c r="B138" s="60">
        <f>SUM(B70:B137)</f>
        <v>124385512.12999998</v>
      </c>
      <c r="C138" s="60">
        <f t="shared" ref="C138:I138" si="25">SUM(C70:C137)</f>
        <v>6350033.2799999984</v>
      </c>
      <c r="D138" s="60">
        <f t="shared" si="25"/>
        <v>0</v>
      </c>
      <c r="E138" s="60">
        <f t="shared" si="25"/>
        <v>0</v>
      </c>
      <c r="F138" s="60">
        <f t="shared" si="25"/>
        <v>0</v>
      </c>
      <c r="G138" s="60">
        <f t="shared" si="25"/>
        <v>124385512.12999998</v>
      </c>
      <c r="H138" s="60">
        <f t="shared" si="25"/>
        <v>6350033.2799999984</v>
      </c>
      <c r="I138" s="60">
        <f t="shared" si="25"/>
        <v>130735545.40999997</v>
      </c>
      <c r="J138" s="164" t="s">
        <v>508</v>
      </c>
    </row>
    <row r="139" spans="1:10" x14ac:dyDescent="0.3">
      <c r="A139" s="59" t="s">
        <v>156</v>
      </c>
      <c r="B139" s="60"/>
      <c r="C139" s="60"/>
      <c r="D139" s="60"/>
      <c r="E139" s="60"/>
      <c r="F139" s="60"/>
      <c r="G139" s="60"/>
      <c r="H139" s="60"/>
      <c r="I139" s="60"/>
    </row>
    <row r="140" spans="1:10" x14ac:dyDescent="0.3">
      <c r="A140" s="109" t="s">
        <v>157</v>
      </c>
      <c r="B140" s="60">
        <f>IF(ISNA(VLOOKUP($J140,FM!$A:$J,3,FALSE)),0,VLOOKUP($J140,FM!$A:$J,3,FALSE))</f>
        <v>2701248.86</v>
      </c>
      <c r="C140" s="60">
        <f>IF(ISNA(VLOOKUP($J140,FM!$A:$J,4,FALSE)),0,VLOOKUP($J140,FM!$A:$J,4,FALSE))</f>
        <v>0</v>
      </c>
      <c r="D140" s="60">
        <f>IF(ISNA(VLOOKUP($J140,FM!$A:$J,5,FALSE)),0,VLOOKUP($J140,FM!$A:$J,5,FALSE))</f>
        <v>0</v>
      </c>
      <c r="E140" s="60">
        <f>IF(ISNA(VLOOKUP($J140,FM!$A:$J,6,FALSE)),0,VLOOKUP($J140,FM!$A:$J,6,FALSE))</f>
        <v>0</v>
      </c>
      <c r="F140" s="60">
        <f>IF(ISNA(VLOOKUP($J140,FM!$A:$J,7,FALSE)),0,VLOOKUP($J140,FM!$A:$J,7,FALSE))</f>
        <v>0</v>
      </c>
      <c r="G140" s="60">
        <f t="shared" ref="G140:H167" si="26">B140+E140</f>
        <v>2701248.86</v>
      </c>
      <c r="H140" s="60">
        <f t="shared" si="26"/>
        <v>0</v>
      </c>
      <c r="I140" s="60">
        <f t="shared" ref="I140:I167" si="27">SUM(G140:H140)</f>
        <v>2701248.86</v>
      </c>
      <c r="J140" s="167" t="s">
        <v>608</v>
      </c>
    </row>
    <row r="141" spans="1:10" x14ac:dyDescent="0.3">
      <c r="A141" s="109" t="s">
        <v>158</v>
      </c>
      <c r="B141" s="60">
        <f>IF(ISNA(VLOOKUP($J141,FM!$A:$J,3,FALSE)),0,VLOOKUP($J141,FM!$A:$J,3,FALSE))</f>
        <v>0</v>
      </c>
      <c r="C141" s="60">
        <f>IF(ISNA(VLOOKUP($J141,FM!$A:$J,4,FALSE)),0,VLOOKUP($J141,FM!$A:$J,4,FALSE))</f>
        <v>0</v>
      </c>
      <c r="D141" s="60">
        <f>IF(ISNA(VLOOKUP($J141,FM!$A:$J,5,FALSE)),0,VLOOKUP($J141,FM!$A:$J,5,FALSE))</f>
        <v>0</v>
      </c>
      <c r="E141" s="60">
        <f>IF(ISNA(VLOOKUP($J141,FM!$A:$J,6,FALSE)),0,VLOOKUP($J141,FM!$A:$J,6,FALSE))</f>
        <v>0</v>
      </c>
      <c r="F141" s="60">
        <f>IF(ISNA(VLOOKUP($J141,FM!$A:$J,7,FALSE)),0,VLOOKUP($J141,FM!$A:$J,7,FALSE))</f>
        <v>0</v>
      </c>
      <c r="G141" s="60">
        <f t="shared" si="26"/>
        <v>0</v>
      </c>
      <c r="H141" s="60">
        <f t="shared" si="26"/>
        <v>0</v>
      </c>
      <c r="I141" s="60">
        <f t="shared" si="27"/>
        <v>0</v>
      </c>
    </row>
    <row r="142" spans="1:10" x14ac:dyDescent="0.3">
      <c r="A142" s="109" t="s">
        <v>159</v>
      </c>
      <c r="B142" s="60">
        <f>IF(ISNA(VLOOKUP($J142,FM!$A:$J,3,FALSE)),0,VLOOKUP($J142,FM!$A:$J,3,FALSE))</f>
        <v>85034.59</v>
      </c>
      <c r="C142" s="60">
        <f>IF(ISNA(VLOOKUP($J142,FM!$A:$J,4,FALSE)),0,VLOOKUP($J142,FM!$A:$J,4,FALSE))</f>
        <v>0</v>
      </c>
      <c r="D142" s="60">
        <f>IF(ISNA(VLOOKUP($J142,FM!$A:$J,5,FALSE)),0,VLOOKUP($J142,FM!$A:$J,5,FALSE))</f>
        <v>0</v>
      </c>
      <c r="E142" s="60">
        <f>IF(ISNA(VLOOKUP($J142,FM!$A:$J,6,FALSE)),0,VLOOKUP($J142,FM!$A:$J,6,FALSE))</f>
        <v>0</v>
      </c>
      <c r="F142" s="60">
        <f>IF(ISNA(VLOOKUP($J142,FM!$A:$J,7,FALSE)),0,VLOOKUP($J142,FM!$A:$J,7,FALSE))</f>
        <v>0</v>
      </c>
      <c r="G142" s="60">
        <f t="shared" si="26"/>
        <v>85034.59</v>
      </c>
      <c r="H142" s="60">
        <f t="shared" si="26"/>
        <v>0</v>
      </c>
      <c r="I142" s="60">
        <f t="shared" si="27"/>
        <v>85034.59</v>
      </c>
      <c r="J142" s="167" t="s">
        <v>610</v>
      </c>
    </row>
    <row r="143" spans="1:10" x14ac:dyDescent="0.3">
      <c r="A143" s="109" t="s">
        <v>160</v>
      </c>
      <c r="B143" s="60">
        <f>IF(ISNA(VLOOKUP($J143,FM!$A:$J,3,FALSE)),0,VLOOKUP($J143,FM!$A:$J,3,FALSE))</f>
        <v>1625328.42</v>
      </c>
      <c r="C143" s="60">
        <f>IF(ISNA(VLOOKUP($J143,FM!$A:$J,4,FALSE)),0,VLOOKUP($J143,FM!$A:$J,4,FALSE))</f>
        <v>0</v>
      </c>
      <c r="D143" s="60">
        <f>IF(ISNA(VLOOKUP($J143,FM!$A:$J,5,FALSE)),0,VLOOKUP($J143,FM!$A:$J,5,FALSE))</f>
        <v>0</v>
      </c>
      <c r="E143" s="60">
        <f>IF(ISNA(VLOOKUP($J143,FM!$A:$J,6,FALSE)),0,VLOOKUP($J143,FM!$A:$J,6,FALSE))</f>
        <v>0</v>
      </c>
      <c r="F143" s="60">
        <f>IF(ISNA(VLOOKUP($J143,FM!$A:$J,7,FALSE)),0,VLOOKUP($J143,FM!$A:$J,7,FALSE))</f>
        <v>0</v>
      </c>
      <c r="G143" s="60">
        <f t="shared" si="26"/>
        <v>1625328.42</v>
      </c>
      <c r="H143" s="60">
        <f t="shared" si="26"/>
        <v>0</v>
      </c>
      <c r="I143" s="60">
        <f t="shared" si="27"/>
        <v>1625328.42</v>
      </c>
      <c r="J143" s="167" t="s">
        <v>612</v>
      </c>
    </row>
    <row r="144" spans="1:10" x14ac:dyDescent="0.3">
      <c r="A144" s="109" t="s">
        <v>161</v>
      </c>
      <c r="B144" s="60">
        <f>IF(ISNA(VLOOKUP($J144,FM!$A:$J,3,FALSE)),0,VLOOKUP($J144,FM!$A:$J,3,FALSE))</f>
        <v>670140.84</v>
      </c>
      <c r="C144" s="60">
        <f>IF(ISNA(VLOOKUP($J144,FM!$A:$J,4,FALSE)),0,VLOOKUP($J144,FM!$A:$J,4,FALSE))</f>
        <v>0</v>
      </c>
      <c r="D144" s="60">
        <f>IF(ISNA(VLOOKUP($J144,FM!$A:$J,5,FALSE)),0,VLOOKUP($J144,FM!$A:$J,5,FALSE))</f>
        <v>0</v>
      </c>
      <c r="E144" s="60">
        <f>IF(ISNA(VLOOKUP($J144,FM!$A:$J,6,FALSE)),0,VLOOKUP($J144,FM!$A:$J,6,FALSE))</f>
        <v>0</v>
      </c>
      <c r="F144" s="60">
        <f>IF(ISNA(VLOOKUP($J144,FM!$A:$J,7,FALSE)),0,VLOOKUP($J144,FM!$A:$J,7,FALSE))</f>
        <v>0</v>
      </c>
      <c r="G144" s="60">
        <f t="shared" si="26"/>
        <v>670140.84</v>
      </c>
      <c r="H144" s="60">
        <f t="shared" si="26"/>
        <v>0</v>
      </c>
      <c r="I144" s="60">
        <f t="shared" si="27"/>
        <v>670140.84</v>
      </c>
      <c r="J144" s="167" t="s">
        <v>614</v>
      </c>
    </row>
    <row r="145" spans="1:10" x14ac:dyDescent="0.3">
      <c r="A145" s="109" t="s">
        <v>162</v>
      </c>
      <c r="B145" s="60">
        <f>IF(ISNA(VLOOKUP($J145,FM!$A:$J,3,FALSE)),0,VLOOKUP($J145,FM!$A:$J,3,FALSE))</f>
        <v>2914429.03</v>
      </c>
      <c r="C145" s="60">
        <f>IF(ISNA(VLOOKUP($J145,FM!$A:$J,4,FALSE)),0,VLOOKUP($J145,FM!$A:$J,4,FALSE))</f>
        <v>0</v>
      </c>
      <c r="D145" s="60">
        <f>IF(ISNA(VLOOKUP($J145,FM!$A:$J,5,FALSE)),0,VLOOKUP($J145,FM!$A:$J,5,FALSE))</f>
        <v>0</v>
      </c>
      <c r="E145" s="60">
        <f>IF(ISNA(VLOOKUP($J145,FM!$A:$J,6,FALSE)),0,VLOOKUP($J145,FM!$A:$J,6,FALSE))</f>
        <v>0</v>
      </c>
      <c r="F145" s="60">
        <f>IF(ISNA(VLOOKUP($J145,FM!$A:$J,7,FALSE)),0,VLOOKUP($J145,FM!$A:$J,7,FALSE))</f>
        <v>0</v>
      </c>
      <c r="G145" s="60">
        <f t="shared" si="26"/>
        <v>2914429.03</v>
      </c>
      <c r="H145" s="60">
        <f t="shared" si="26"/>
        <v>0</v>
      </c>
      <c r="I145" s="60">
        <f t="shared" si="27"/>
        <v>2914429.03</v>
      </c>
      <c r="J145" s="167" t="s">
        <v>616</v>
      </c>
    </row>
    <row r="146" spans="1:10" x14ac:dyDescent="0.3">
      <c r="A146" s="109" t="s">
        <v>163</v>
      </c>
      <c r="B146" s="60">
        <f>IF(ISNA(VLOOKUP($J146,FM!$A:$J,3,FALSE)),0,VLOOKUP($J146,FM!$A:$J,3,FALSE))</f>
        <v>0</v>
      </c>
      <c r="C146" s="60">
        <f>IF(ISNA(VLOOKUP($J146,FM!$A:$J,4,FALSE)),0,VLOOKUP($J146,FM!$A:$J,4,FALSE))</f>
        <v>0</v>
      </c>
      <c r="D146" s="60">
        <f>IF(ISNA(VLOOKUP($J146,FM!$A:$J,5,FALSE)),0,VLOOKUP($J146,FM!$A:$J,5,FALSE))</f>
        <v>0</v>
      </c>
      <c r="E146" s="60">
        <f>IF(ISNA(VLOOKUP($J146,FM!$A:$J,6,FALSE)),0,VLOOKUP($J146,FM!$A:$J,6,FALSE))</f>
        <v>0</v>
      </c>
      <c r="F146" s="60">
        <f>IF(ISNA(VLOOKUP($J146,FM!$A:$J,7,FALSE)),0,VLOOKUP($J146,FM!$A:$J,7,FALSE))</f>
        <v>0</v>
      </c>
      <c r="G146" s="60">
        <f t="shared" si="26"/>
        <v>0</v>
      </c>
      <c r="H146" s="60">
        <f t="shared" si="26"/>
        <v>0</v>
      </c>
      <c r="I146" s="60">
        <f t="shared" si="27"/>
        <v>0</v>
      </c>
      <c r="J146" s="167" t="s">
        <v>881</v>
      </c>
    </row>
    <row r="147" spans="1:10" x14ac:dyDescent="0.3">
      <c r="A147" s="109" t="s">
        <v>164</v>
      </c>
      <c r="B147" s="60">
        <f>IF(ISNA(VLOOKUP($J147,FM!$A:$J,3,FALSE)),0,VLOOKUP($J147,FM!$A:$J,3,FALSE))</f>
        <v>1572656.48</v>
      </c>
      <c r="C147" s="60">
        <f>IF(ISNA(VLOOKUP($J147,FM!$A:$J,4,FALSE)),0,VLOOKUP($J147,FM!$A:$J,4,FALSE))</f>
        <v>0</v>
      </c>
      <c r="D147" s="60">
        <f>IF(ISNA(VLOOKUP($J147,FM!$A:$J,5,FALSE)),0,VLOOKUP($J147,FM!$A:$J,5,FALSE))</f>
        <v>0</v>
      </c>
      <c r="E147" s="60">
        <f>IF(ISNA(VLOOKUP($J147,FM!$A:$J,6,FALSE)),0,VLOOKUP($J147,FM!$A:$J,6,FALSE))</f>
        <v>0</v>
      </c>
      <c r="F147" s="60">
        <f>IF(ISNA(VLOOKUP($J147,FM!$A:$J,7,FALSE)),0,VLOOKUP($J147,FM!$A:$J,7,FALSE))</f>
        <v>0</v>
      </c>
      <c r="G147" s="60">
        <f t="shared" si="26"/>
        <v>1572656.48</v>
      </c>
      <c r="H147" s="60">
        <f t="shared" si="26"/>
        <v>0</v>
      </c>
      <c r="I147" s="60">
        <f t="shared" si="27"/>
        <v>1572656.48</v>
      </c>
      <c r="J147" s="167" t="s">
        <v>618</v>
      </c>
    </row>
    <row r="148" spans="1:10" x14ac:dyDescent="0.3">
      <c r="A148" s="109" t="s">
        <v>165</v>
      </c>
      <c r="B148" s="60">
        <f>IF(ISNA(VLOOKUP($J148,FM!$A:$J,3,FALSE)),0,VLOOKUP($J148,FM!$A:$J,3,FALSE))</f>
        <v>87714.19</v>
      </c>
      <c r="C148" s="60">
        <f>IF(ISNA(VLOOKUP($J148,FM!$A:$J,4,FALSE)),0,VLOOKUP($J148,FM!$A:$J,4,FALSE))</f>
        <v>0</v>
      </c>
      <c r="D148" s="60">
        <f>IF(ISNA(VLOOKUP($J148,FM!$A:$J,5,FALSE)),0,VLOOKUP($J148,FM!$A:$J,5,FALSE))</f>
        <v>0</v>
      </c>
      <c r="E148" s="60">
        <f>IF(ISNA(VLOOKUP($J148,FM!$A:$J,6,FALSE)),0,VLOOKUP($J148,FM!$A:$J,6,FALSE))</f>
        <v>0</v>
      </c>
      <c r="F148" s="60">
        <f>IF(ISNA(VLOOKUP($J148,FM!$A:$J,7,FALSE)),0,VLOOKUP($J148,FM!$A:$J,7,FALSE))</f>
        <v>0</v>
      </c>
      <c r="G148" s="60">
        <f t="shared" si="26"/>
        <v>87714.19</v>
      </c>
      <c r="H148" s="60">
        <f t="shared" si="26"/>
        <v>0</v>
      </c>
      <c r="I148" s="60">
        <f t="shared" si="27"/>
        <v>87714.19</v>
      </c>
      <c r="J148" s="167" t="s">
        <v>620</v>
      </c>
    </row>
    <row r="149" spans="1:10" x14ac:dyDescent="0.3">
      <c r="A149" s="109" t="s">
        <v>166</v>
      </c>
      <c r="B149" s="60">
        <f>IF(ISNA(VLOOKUP($J149,FM!$A:$J,3,FALSE)),0,VLOOKUP($J149,FM!$A:$J,3,FALSE))</f>
        <v>1235002.0900000001</v>
      </c>
      <c r="C149" s="60">
        <f>IF(ISNA(VLOOKUP($J149,FM!$A:$J,4,FALSE)),0,VLOOKUP($J149,FM!$A:$J,4,FALSE))</f>
        <v>0</v>
      </c>
      <c r="D149" s="60">
        <f>IF(ISNA(VLOOKUP($J149,FM!$A:$J,5,FALSE)),0,VLOOKUP($J149,FM!$A:$J,5,FALSE))</f>
        <v>0</v>
      </c>
      <c r="E149" s="60">
        <f>IF(ISNA(VLOOKUP($J149,FM!$A:$J,6,FALSE)),0,VLOOKUP($J149,FM!$A:$J,6,FALSE))</f>
        <v>0</v>
      </c>
      <c r="F149" s="60">
        <f>IF(ISNA(VLOOKUP($J149,FM!$A:$J,7,FALSE)),0,VLOOKUP($J149,FM!$A:$J,7,FALSE))</f>
        <v>0</v>
      </c>
      <c r="G149" s="60">
        <f t="shared" si="26"/>
        <v>1235002.0900000001</v>
      </c>
      <c r="H149" s="60">
        <f t="shared" si="26"/>
        <v>0</v>
      </c>
      <c r="I149" s="60">
        <f t="shared" si="27"/>
        <v>1235002.0900000001</v>
      </c>
      <c r="J149" s="167" t="s">
        <v>622</v>
      </c>
    </row>
    <row r="150" spans="1:10" x14ac:dyDescent="0.3">
      <c r="A150" s="109" t="s">
        <v>167</v>
      </c>
      <c r="B150" s="60">
        <f>IF(ISNA(VLOOKUP($J150,FM!$A:$J,3,FALSE)),0,VLOOKUP($J150,FM!$A:$J,3,FALSE))</f>
        <v>291574.96999999997</v>
      </c>
      <c r="C150" s="60">
        <f>IF(ISNA(VLOOKUP($J150,FM!$A:$J,4,FALSE)),0,VLOOKUP($J150,FM!$A:$J,4,FALSE))</f>
        <v>0</v>
      </c>
      <c r="D150" s="60">
        <f>IF(ISNA(VLOOKUP($J150,FM!$A:$J,5,FALSE)),0,VLOOKUP($J150,FM!$A:$J,5,FALSE))</f>
        <v>0</v>
      </c>
      <c r="E150" s="60">
        <f>IF(ISNA(VLOOKUP($J150,FM!$A:$J,6,FALSE)),0,VLOOKUP($J150,FM!$A:$J,6,FALSE))</f>
        <v>0</v>
      </c>
      <c r="F150" s="60">
        <f>IF(ISNA(VLOOKUP($J150,FM!$A:$J,7,FALSE)),0,VLOOKUP($J150,FM!$A:$J,7,FALSE))</f>
        <v>0</v>
      </c>
      <c r="G150" s="60">
        <f t="shared" si="26"/>
        <v>291574.96999999997</v>
      </c>
      <c r="H150" s="60">
        <f t="shared" si="26"/>
        <v>0</v>
      </c>
      <c r="I150" s="60">
        <f t="shared" si="27"/>
        <v>291574.96999999997</v>
      </c>
      <c r="J150" s="167" t="s">
        <v>624</v>
      </c>
    </row>
    <row r="151" spans="1:10" x14ac:dyDescent="0.3">
      <c r="A151" s="109" t="s">
        <v>168</v>
      </c>
      <c r="B151" s="60">
        <f>IF(ISNA(VLOOKUP($J151,FM!$A:$J,3,FALSE)),0,VLOOKUP($J151,FM!$A:$J,3,FALSE))</f>
        <v>2952511.29</v>
      </c>
      <c r="C151" s="60">
        <f>IF(ISNA(VLOOKUP($J151,FM!$A:$J,4,FALSE)),0,VLOOKUP($J151,FM!$A:$J,4,FALSE))</f>
        <v>0</v>
      </c>
      <c r="D151" s="60">
        <f>IF(ISNA(VLOOKUP($J151,FM!$A:$J,5,FALSE)),0,VLOOKUP($J151,FM!$A:$J,5,FALSE))</f>
        <v>0</v>
      </c>
      <c r="E151" s="60">
        <f>IF(ISNA(VLOOKUP($J151,FM!$A:$J,6,FALSE)),0,VLOOKUP($J151,FM!$A:$J,6,FALSE))</f>
        <v>0</v>
      </c>
      <c r="F151" s="60">
        <f>IF(ISNA(VLOOKUP($J151,FM!$A:$J,7,FALSE)),0,VLOOKUP($J151,FM!$A:$J,7,FALSE))</f>
        <v>0</v>
      </c>
      <c r="G151" s="60">
        <f t="shared" si="26"/>
        <v>2952511.29</v>
      </c>
      <c r="H151" s="60">
        <f t="shared" si="26"/>
        <v>0</v>
      </c>
      <c r="I151" s="60">
        <f t="shared" si="27"/>
        <v>2952511.29</v>
      </c>
      <c r="J151" s="167" t="s">
        <v>626</v>
      </c>
    </row>
    <row r="152" spans="1:10" x14ac:dyDescent="0.3">
      <c r="A152" s="109" t="s">
        <v>169</v>
      </c>
      <c r="B152" s="60">
        <f>IF(ISNA(VLOOKUP($J152,FM!$A:$J,3,FALSE)),0,VLOOKUP($J152,FM!$A:$J,3,FALSE))</f>
        <v>462594.12</v>
      </c>
      <c r="C152" s="60">
        <f>IF(ISNA(VLOOKUP($J152,FM!$A:$J,4,FALSE)),0,VLOOKUP($J152,FM!$A:$J,4,FALSE))</f>
        <v>0</v>
      </c>
      <c r="D152" s="60">
        <f>IF(ISNA(VLOOKUP($J152,FM!$A:$J,5,FALSE)),0,VLOOKUP($J152,FM!$A:$J,5,FALSE))</f>
        <v>0</v>
      </c>
      <c r="E152" s="60">
        <f>IF(ISNA(VLOOKUP($J152,FM!$A:$J,6,FALSE)),0,VLOOKUP($J152,FM!$A:$J,6,FALSE))</f>
        <v>0</v>
      </c>
      <c r="F152" s="60">
        <f>IF(ISNA(VLOOKUP($J152,FM!$A:$J,7,FALSE)),0,VLOOKUP($J152,FM!$A:$J,7,FALSE))</f>
        <v>0</v>
      </c>
      <c r="G152" s="60">
        <f t="shared" si="26"/>
        <v>462594.12</v>
      </c>
      <c r="H152" s="60">
        <f t="shared" si="26"/>
        <v>0</v>
      </c>
      <c r="I152" s="60">
        <f t="shared" si="27"/>
        <v>462594.12</v>
      </c>
      <c r="J152" s="167" t="s">
        <v>628</v>
      </c>
    </row>
    <row r="153" spans="1:10" x14ac:dyDescent="0.3">
      <c r="A153" s="109" t="s">
        <v>170</v>
      </c>
      <c r="B153" s="60">
        <f>IF(ISNA(VLOOKUP($J153,FM!$A:$J,3,FALSE)),0,VLOOKUP($J153,FM!$A:$J,3,FALSE))</f>
        <v>53697</v>
      </c>
      <c r="C153" s="60">
        <f>IF(ISNA(VLOOKUP($J153,FM!$A:$J,4,FALSE)),0,VLOOKUP($J153,FM!$A:$J,4,FALSE))</f>
        <v>0</v>
      </c>
      <c r="D153" s="60">
        <f>IF(ISNA(VLOOKUP($J153,FM!$A:$J,5,FALSE)),0,VLOOKUP($J153,FM!$A:$J,5,FALSE))</f>
        <v>0</v>
      </c>
      <c r="E153" s="60">
        <f>IF(ISNA(VLOOKUP($J153,FM!$A:$J,6,FALSE)),0,VLOOKUP($J153,FM!$A:$J,6,FALSE))</f>
        <v>0</v>
      </c>
      <c r="F153" s="60">
        <f>IF(ISNA(VLOOKUP($J153,FM!$A:$J,7,FALSE)),0,VLOOKUP($J153,FM!$A:$J,7,FALSE))</f>
        <v>0</v>
      </c>
      <c r="G153" s="60">
        <f t="shared" si="26"/>
        <v>53697</v>
      </c>
      <c r="H153" s="60">
        <f t="shared" si="26"/>
        <v>0</v>
      </c>
      <c r="I153" s="60">
        <f t="shared" si="27"/>
        <v>53697</v>
      </c>
      <c r="J153" s="167" t="s">
        <v>630</v>
      </c>
    </row>
    <row r="154" spans="1:10" x14ac:dyDescent="0.3">
      <c r="A154" s="109" t="s">
        <v>171</v>
      </c>
      <c r="B154" s="60">
        <f>IF(ISNA(VLOOKUP($J154,FM!$A:$J,3,FALSE)),0,VLOOKUP($J154,FM!$A:$J,3,FALSE))</f>
        <v>5291.24</v>
      </c>
      <c r="C154" s="60">
        <f>IF(ISNA(VLOOKUP($J154,FM!$A:$J,4,FALSE)),0,VLOOKUP($J154,FM!$A:$J,4,FALSE))</f>
        <v>0</v>
      </c>
      <c r="D154" s="60">
        <f>IF(ISNA(VLOOKUP($J154,FM!$A:$J,5,FALSE)),0,VLOOKUP($J154,FM!$A:$J,5,FALSE))</f>
        <v>0</v>
      </c>
      <c r="E154" s="60">
        <f>IF(ISNA(VLOOKUP($J154,FM!$A:$J,6,FALSE)),0,VLOOKUP($J154,FM!$A:$J,6,FALSE))</f>
        <v>0</v>
      </c>
      <c r="F154" s="60">
        <f>IF(ISNA(VLOOKUP($J154,FM!$A:$J,7,FALSE)),0,VLOOKUP($J154,FM!$A:$J,7,FALSE))</f>
        <v>0</v>
      </c>
      <c r="G154" s="60">
        <f t="shared" si="26"/>
        <v>5291.24</v>
      </c>
      <c r="H154" s="60">
        <f t="shared" si="26"/>
        <v>0</v>
      </c>
      <c r="I154" s="60">
        <f t="shared" si="27"/>
        <v>5291.24</v>
      </c>
      <c r="J154" s="167" t="s">
        <v>632</v>
      </c>
    </row>
    <row r="155" spans="1:10" x14ac:dyDescent="0.3">
      <c r="A155" s="109" t="s">
        <v>172</v>
      </c>
      <c r="B155" s="60">
        <f>IF(ISNA(VLOOKUP($J155,FM!$A:$J,3,FALSE)),0,VLOOKUP($J155,FM!$A:$J,3,FALSE))</f>
        <v>35.119999999999997</v>
      </c>
      <c r="C155" s="60">
        <f>IF(ISNA(VLOOKUP($J155,FM!$A:$J,4,FALSE)),0,VLOOKUP($J155,FM!$A:$J,4,FALSE))</f>
        <v>0</v>
      </c>
      <c r="D155" s="60">
        <f>IF(ISNA(VLOOKUP($J155,FM!$A:$J,5,FALSE)),0,VLOOKUP($J155,FM!$A:$J,5,FALSE))</f>
        <v>0</v>
      </c>
      <c r="E155" s="60">
        <f>IF(ISNA(VLOOKUP($J155,FM!$A:$J,6,FALSE)),0,VLOOKUP($J155,FM!$A:$J,6,FALSE))</f>
        <v>0</v>
      </c>
      <c r="F155" s="60">
        <f>IF(ISNA(VLOOKUP($J155,FM!$A:$J,7,FALSE)),0,VLOOKUP($J155,FM!$A:$J,7,FALSE))</f>
        <v>0</v>
      </c>
      <c r="G155" s="60">
        <f t="shared" si="26"/>
        <v>35.119999999999997</v>
      </c>
      <c r="H155" s="60">
        <f t="shared" si="26"/>
        <v>0</v>
      </c>
      <c r="I155" s="60">
        <f t="shared" si="27"/>
        <v>35.119999999999997</v>
      </c>
      <c r="J155" s="167" t="s">
        <v>882</v>
      </c>
    </row>
    <row r="156" spans="1:10" x14ac:dyDescent="0.3">
      <c r="A156" s="109" t="s">
        <v>173</v>
      </c>
      <c r="B156" s="60">
        <f>IF(ISNA(VLOOKUP($J156,FM!$A:$J,3,FALSE)),0,VLOOKUP($J156,FM!$A:$J,3,FALSE))</f>
        <v>178303.63</v>
      </c>
      <c r="C156" s="60">
        <f>IF(ISNA(VLOOKUP($J156,FM!$A:$J,4,FALSE)),0,VLOOKUP($J156,FM!$A:$J,4,FALSE))</f>
        <v>0</v>
      </c>
      <c r="D156" s="60">
        <f>IF(ISNA(VLOOKUP($J156,FM!$A:$J,5,FALSE)),0,VLOOKUP($J156,FM!$A:$J,5,FALSE))</f>
        <v>0</v>
      </c>
      <c r="E156" s="60">
        <f>IF(ISNA(VLOOKUP($J156,FM!$A:$J,6,FALSE)),0,VLOOKUP($J156,FM!$A:$J,6,FALSE))</f>
        <v>0</v>
      </c>
      <c r="F156" s="60">
        <f>IF(ISNA(VLOOKUP($J156,FM!$A:$J,7,FALSE)),0,VLOOKUP($J156,FM!$A:$J,7,FALSE))</f>
        <v>0</v>
      </c>
      <c r="G156" s="60">
        <f t="shared" si="26"/>
        <v>178303.63</v>
      </c>
      <c r="H156" s="60">
        <f t="shared" si="26"/>
        <v>0</v>
      </c>
      <c r="I156" s="60">
        <f t="shared" si="27"/>
        <v>178303.63</v>
      </c>
      <c r="J156" s="167" t="s">
        <v>633</v>
      </c>
    </row>
    <row r="157" spans="1:10" x14ac:dyDescent="0.3">
      <c r="A157" s="109" t="s">
        <v>174</v>
      </c>
      <c r="B157" s="60">
        <f>IF(ISNA(VLOOKUP($J157,FM!$A:$J,3,FALSE)),0,VLOOKUP($J157,FM!$A:$J,3,FALSE))</f>
        <v>1884698.15</v>
      </c>
      <c r="C157" s="60">
        <f>IF(ISNA(VLOOKUP($J157,FM!$A:$J,4,FALSE)),0,VLOOKUP($J157,FM!$A:$J,4,FALSE))</f>
        <v>0</v>
      </c>
      <c r="D157" s="60">
        <f>IF(ISNA(VLOOKUP($J157,FM!$A:$J,5,FALSE)),0,VLOOKUP($J157,FM!$A:$J,5,FALSE))</f>
        <v>0</v>
      </c>
      <c r="E157" s="60">
        <f>IF(ISNA(VLOOKUP($J157,FM!$A:$J,6,FALSE)),0,VLOOKUP($J157,FM!$A:$J,6,FALSE))</f>
        <v>0</v>
      </c>
      <c r="F157" s="60">
        <f>IF(ISNA(VLOOKUP($J157,FM!$A:$J,7,FALSE)),0,VLOOKUP($J157,FM!$A:$J,7,FALSE))</f>
        <v>0</v>
      </c>
      <c r="G157" s="60">
        <f t="shared" si="26"/>
        <v>1884698.15</v>
      </c>
      <c r="H157" s="60">
        <f t="shared" si="26"/>
        <v>0</v>
      </c>
      <c r="I157" s="60">
        <f t="shared" si="27"/>
        <v>1884698.15</v>
      </c>
      <c r="J157" s="167" t="s">
        <v>635</v>
      </c>
    </row>
    <row r="158" spans="1:10" x14ac:dyDescent="0.3">
      <c r="A158" s="109" t="s">
        <v>175</v>
      </c>
      <c r="B158" s="60">
        <f>IF(ISNA(VLOOKUP($J158,FM!$A:$J,3,FALSE)),0,VLOOKUP($J158,FM!$A:$J,3,FALSE))</f>
        <v>7321785.21</v>
      </c>
      <c r="C158" s="60">
        <f>IF(ISNA(VLOOKUP($J158,FM!$A:$J,4,FALSE)),0,VLOOKUP($J158,FM!$A:$J,4,FALSE))</f>
        <v>0</v>
      </c>
      <c r="D158" s="60">
        <f>IF(ISNA(VLOOKUP($J158,FM!$A:$J,5,FALSE)),0,VLOOKUP($J158,FM!$A:$J,5,FALSE))</f>
        <v>0</v>
      </c>
      <c r="E158" s="60">
        <f>IF(ISNA(VLOOKUP($J158,FM!$A:$J,6,FALSE)),0,VLOOKUP($J158,FM!$A:$J,6,FALSE))</f>
        <v>0</v>
      </c>
      <c r="F158" s="60">
        <f>IF(ISNA(VLOOKUP($J158,FM!$A:$J,7,FALSE)),0,VLOOKUP($J158,FM!$A:$J,7,FALSE))</f>
        <v>0</v>
      </c>
      <c r="G158" s="60">
        <f t="shared" si="26"/>
        <v>7321785.21</v>
      </c>
      <c r="H158" s="60">
        <f t="shared" si="26"/>
        <v>0</v>
      </c>
      <c r="I158" s="60">
        <f t="shared" si="27"/>
        <v>7321785.21</v>
      </c>
      <c r="J158" s="167" t="s">
        <v>637</v>
      </c>
    </row>
    <row r="159" spans="1:10" x14ac:dyDescent="0.3">
      <c r="A159" s="109" t="s">
        <v>176</v>
      </c>
      <c r="B159" s="60">
        <f>IF(ISNA(VLOOKUP($J159,FM!$A:$J,3,FALSE)),0,VLOOKUP($J159,FM!$A:$J,3,FALSE))</f>
        <v>0</v>
      </c>
      <c r="C159" s="60">
        <f>IF(ISNA(VLOOKUP($J159,FM!$A:$J,4,FALSE)),0,VLOOKUP($J159,FM!$A:$J,4,FALSE))</f>
        <v>0</v>
      </c>
      <c r="D159" s="60">
        <f>IF(ISNA(VLOOKUP($J159,FM!$A:$J,5,FALSE)),0,VLOOKUP($J159,FM!$A:$J,5,FALSE))</f>
        <v>0</v>
      </c>
      <c r="E159" s="60">
        <f>IF(ISNA(VLOOKUP($J159,FM!$A:$J,6,FALSE)),0,VLOOKUP($J159,FM!$A:$J,6,FALSE))</f>
        <v>0</v>
      </c>
      <c r="F159" s="60">
        <f>IF(ISNA(VLOOKUP($J159,FM!$A:$J,7,FALSE)),0,VLOOKUP($J159,FM!$A:$J,7,FALSE))</f>
        <v>0</v>
      </c>
      <c r="G159" s="60">
        <f t="shared" si="26"/>
        <v>0</v>
      </c>
      <c r="H159" s="60">
        <f t="shared" si="26"/>
        <v>0</v>
      </c>
      <c r="I159" s="60">
        <f t="shared" si="27"/>
        <v>0</v>
      </c>
      <c r="J159" s="167" t="s">
        <v>883</v>
      </c>
    </row>
    <row r="160" spans="1:10" x14ac:dyDescent="0.3">
      <c r="A160" s="109" t="s">
        <v>177</v>
      </c>
      <c r="B160" s="60">
        <f>IF(ISNA(VLOOKUP($J160,FM!$A:$J,3,FALSE)),0,VLOOKUP($J160,FM!$A:$J,3,FALSE))</f>
        <v>78942.3</v>
      </c>
      <c r="C160" s="60">
        <f>IF(ISNA(VLOOKUP($J160,FM!$A:$J,4,FALSE)),0,VLOOKUP($J160,FM!$A:$J,4,FALSE))</f>
        <v>0</v>
      </c>
      <c r="D160" s="60">
        <f>IF(ISNA(VLOOKUP($J160,FM!$A:$J,5,FALSE)),0,VLOOKUP($J160,FM!$A:$J,5,FALSE))</f>
        <v>0</v>
      </c>
      <c r="E160" s="60">
        <f>IF(ISNA(VLOOKUP($J160,FM!$A:$J,6,FALSE)),0,VLOOKUP($J160,FM!$A:$J,6,FALSE))</f>
        <v>0</v>
      </c>
      <c r="F160" s="60">
        <f>IF(ISNA(VLOOKUP($J160,FM!$A:$J,7,FALSE)),0,VLOOKUP($J160,FM!$A:$J,7,FALSE))</f>
        <v>0</v>
      </c>
      <c r="G160" s="60">
        <f t="shared" si="26"/>
        <v>78942.3</v>
      </c>
      <c r="H160" s="60">
        <f t="shared" si="26"/>
        <v>0</v>
      </c>
      <c r="I160" s="60">
        <f t="shared" si="27"/>
        <v>78942.3</v>
      </c>
      <c r="J160" s="167" t="s">
        <v>639</v>
      </c>
    </row>
    <row r="161" spans="1:10" x14ac:dyDescent="0.3">
      <c r="A161" s="109" t="s">
        <v>178</v>
      </c>
      <c r="B161" s="60">
        <f>IF(ISNA(VLOOKUP($J161,FM!$A:$J,3,FALSE)),0,VLOOKUP($J161,FM!$A:$J,3,FALSE))</f>
        <v>0</v>
      </c>
      <c r="C161" s="60">
        <f>IF(ISNA(VLOOKUP($J161,FM!$A:$J,4,FALSE)),0,VLOOKUP($J161,FM!$A:$J,4,FALSE))</f>
        <v>0</v>
      </c>
      <c r="D161" s="60">
        <f>IF(ISNA(VLOOKUP($J161,FM!$A:$J,5,FALSE)),0,VLOOKUP($J161,FM!$A:$J,5,FALSE))</f>
        <v>0</v>
      </c>
      <c r="E161" s="60">
        <f>IF(ISNA(VLOOKUP($J161,FM!$A:$J,6,FALSE)),0,VLOOKUP($J161,FM!$A:$J,6,FALSE))</f>
        <v>0</v>
      </c>
      <c r="F161" s="60">
        <f>IF(ISNA(VLOOKUP($J161,FM!$A:$J,7,FALSE)),0,VLOOKUP($J161,FM!$A:$J,7,FALSE))</f>
        <v>0</v>
      </c>
      <c r="G161" s="60">
        <f t="shared" si="26"/>
        <v>0</v>
      </c>
      <c r="H161" s="60">
        <f t="shared" si="26"/>
        <v>0</v>
      </c>
      <c r="I161" s="60">
        <f t="shared" si="27"/>
        <v>0</v>
      </c>
      <c r="J161" s="167" t="s">
        <v>884</v>
      </c>
    </row>
    <row r="162" spans="1:10" x14ac:dyDescent="0.3">
      <c r="A162" s="109" t="s">
        <v>179</v>
      </c>
      <c r="B162" s="60">
        <f>IF(ISNA(VLOOKUP($J162,FM!$A:$J,3,FALSE)),0,VLOOKUP($J162,FM!$A:$J,3,FALSE))</f>
        <v>0</v>
      </c>
      <c r="C162" s="60">
        <f>IF(ISNA(VLOOKUP($J162,FM!$A:$J,4,FALSE)),0,VLOOKUP($J162,FM!$A:$J,4,FALSE))</f>
        <v>0</v>
      </c>
      <c r="D162" s="60">
        <f>IF(ISNA(VLOOKUP($J162,FM!$A:$J,5,FALSE)),0,VLOOKUP($J162,FM!$A:$J,5,FALSE))</f>
        <v>0</v>
      </c>
      <c r="E162" s="60">
        <f>IF(ISNA(VLOOKUP($J162,FM!$A:$J,6,FALSE)),0,VLOOKUP($J162,FM!$A:$J,6,FALSE))</f>
        <v>0</v>
      </c>
      <c r="F162" s="60">
        <f>IF(ISNA(VLOOKUP($J162,FM!$A:$J,7,FALSE)),0,VLOOKUP($J162,FM!$A:$J,7,FALSE))</f>
        <v>0</v>
      </c>
      <c r="G162" s="60">
        <f t="shared" si="26"/>
        <v>0</v>
      </c>
      <c r="H162" s="60">
        <f t="shared" si="26"/>
        <v>0</v>
      </c>
      <c r="I162" s="60">
        <f t="shared" si="27"/>
        <v>0</v>
      </c>
      <c r="J162" s="167" t="s">
        <v>885</v>
      </c>
    </row>
    <row r="163" spans="1:10" x14ac:dyDescent="0.3">
      <c r="A163" s="109" t="s">
        <v>180</v>
      </c>
      <c r="B163" s="60">
        <f>IF(ISNA(VLOOKUP($J163,FM!$A:$J,3,FALSE)),0,VLOOKUP($J163,FM!$A:$J,3,FALSE))</f>
        <v>0</v>
      </c>
      <c r="C163" s="60">
        <f>IF(ISNA(VLOOKUP($J163,FM!$A:$J,4,FALSE)),0,VLOOKUP($J163,FM!$A:$J,4,FALSE))</f>
        <v>0</v>
      </c>
      <c r="D163" s="60">
        <f>IF(ISNA(VLOOKUP($J163,FM!$A:$J,5,FALSE)),0,VLOOKUP($J163,FM!$A:$J,5,FALSE))</f>
        <v>0</v>
      </c>
      <c r="E163" s="60">
        <f>IF(ISNA(VLOOKUP($J163,FM!$A:$J,6,FALSE)),0,VLOOKUP($J163,FM!$A:$J,6,FALSE))</f>
        <v>0</v>
      </c>
      <c r="F163" s="60">
        <f>IF(ISNA(VLOOKUP($J163,FM!$A:$J,7,FALSE)),0,VLOOKUP($J163,FM!$A:$J,7,FALSE))</f>
        <v>0</v>
      </c>
      <c r="G163" s="60">
        <f t="shared" si="26"/>
        <v>0</v>
      </c>
      <c r="H163" s="60">
        <f t="shared" si="26"/>
        <v>0</v>
      </c>
      <c r="I163" s="60">
        <f t="shared" si="27"/>
        <v>0</v>
      </c>
      <c r="J163" s="167" t="s">
        <v>886</v>
      </c>
    </row>
    <row r="164" spans="1:10" x14ac:dyDescent="0.3">
      <c r="A164" s="109" t="s">
        <v>181</v>
      </c>
      <c r="B164" s="60">
        <f>IF(ISNA(VLOOKUP($J164,FM!$A:$J,3,FALSE)),0,VLOOKUP($J164,FM!$A:$J,3,FALSE))</f>
        <v>0</v>
      </c>
      <c r="C164" s="60">
        <f>IF(ISNA(VLOOKUP($J164,FM!$A:$J,4,FALSE)),0,VLOOKUP($J164,FM!$A:$J,4,FALSE))</f>
        <v>0</v>
      </c>
      <c r="D164" s="60">
        <f>IF(ISNA(VLOOKUP($J164,FM!$A:$J,5,FALSE)),0,VLOOKUP($J164,FM!$A:$J,5,FALSE))</f>
        <v>0</v>
      </c>
      <c r="E164" s="60">
        <f>IF(ISNA(VLOOKUP($J164,FM!$A:$J,6,FALSE)),0,VLOOKUP($J164,FM!$A:$J,6,FALSE))</f>
        <v>0</v>
      </c>
      <c r="F164" s="60">
        <f>IF(ISNA(VLOOKUP($J164,FM!$A:$J,7,FALSE)),0,VLOOKUP($J164,FM!$A:$J,7,FALSE))</f>
        <v>0</v>
      </c>
      <c r="G164" s="60">
        <f t="shared" si="26"/>
        <v>0</v>
      </c>
      <c r="H164" s="60">
        <f t="shared" si="26"/>
        <v>0</v>
      </c>
      <c r="I164" s="60">
        <f t="shared" si="27"/>
        <v>0</v>
      </c>
      <c r="J164" s="167" t="s">
        <v>641</v>
      </c>
    </row>
    <row r="165" spans="1:10" x14ac:dyDescent="0.3">
      <c r="A165" s="109" t="s">
        <v>182</v>
      </c>
      <c r="B165" s="60">
        <f>IF(ISNA(VLOOKUP($J165,FM!$A:$J,3,FALSE)),0,VLOOKUP($J165,FM!$A:$J,3,FALSE))</f>
        <v>0</v>
      </c>
      <c r="C165" s="60">
        <f>IF(ISNA(VLOOKUP($J165,FM!$A:$J,4,FALSE)),0,VLOOKUP($J165,FM!$A:$J,4,FALSE))</f>
        <v>0</v>
      </c>
      <c r="D165" s="60">
        <f>IF(ISNA(VLOOKUP($J165,FM!$A:$J,5,FALSE)),0,VLOOKUP($J165,FM!$A:$J,5,FALSE))</f>
        <v>0</v>
      </c>
      <c r="E165" s="60">
        <f>IF(ISNA(VLOOKUP($J165,FM!$A:$J,6,FALSE)),0,VLOOKUP($J165,FM!$A:$J,6,FALSE))</f>
        <v>0</v>
      </c>
      <c r="F165" s="60">
        <f>IF(ISNA(VLOOKUP($J165,FM!$A:$J,7,FALSE)),0,VLOOKUP($J165,FM!$A:$J,7,FALSE))</f>
        <v>0</v>
      </c>
      <c r="G165" s="60">
        <f t="shared" si="26"/>
        <v>0</v>
      </c>
      <c r="H165" s="60">
        <f t="shared" si="26"/>
        <v>0</v>
      </c>
      <c r="I165" s="60">
        <f t="shared" si="27"/>
        <v>0</v>
      </c>
      <c r="J165" s="167" t="s">
        <v>887</v>
      </c>
    </row>
    <row r="166" spans="1:10" x14ac:dyDescent="0.3">
      <c r="A166" s="109" t="s">
        <v>183</v>
      </c>
      <c r="B166" s="60">
        <f>IF(ISNA(VLOOKUP($J166,FM!$A:$J,3,FALSE)),0,VLOOKUP($J166,FM!$A:$J,3,FALSE))</f>
        <v>0</v>
      </c>
      <c r="C166" s="60">
        <f>IF(ISNA(VLOOKUP($J166,FM!$A:$J,4,FALSE)),0,VLOOKUP($J166,FM!$A:$J,4,FALSE))</f>
        <v>0</v>
      </c>
      <c r="D166" s="60">
        <f>IF(ISNA(VLOOKUP($J166,FM!$A:$J,5,FALSE)),0,VLOOKUP($J166,FM!$A:$J,5,FALSE))</f>
        <v>0</v>
      </c>
      <c r="E166" s="60">
        <f>IF(ISNA(VLOOKUP($J166,FM!$A:$J,6,FALSE)),0,VLOOKUP($J166,FM!$A:$J,6,FALSE))</f>
        <v>0</v>
      </c>
      <c r="F166" s="60">
        <f>IF(ISNA(VLOOKUP($J166,FM!$A:$J,7,FALSE)),0,VLOOKUP($J166,FM!$A:$J,7,FALSE))</f>
        <v>0</v>
      </c>
      <c r="G166" s="60">
        <f t="shared" si="26"/>
        <v>0</v>
      </c>
      <c r="H166" s="60">
        <f t="shared" si="26"/>
        <v>0</v>
      </c>
      <c r="I166" s="60">
        <f t="shared" si="27"/>
        <v>0</v>
      </c>
      <c r="J166" s="167" t="s">
        <v>888</v>
      </c>
    </row>
    <row r="167" spans="1:10" x14ac:dyDescent="0.3">
      <c r="A167" s="109" t="s">
        <v>184</v>
      </c>
      <c r="B167" s="163">
        <f>IF(ISNA(VLOOKUP($J167,FM!$A:$J,3,FALSE)),0,VLOOKUP($J167,FM!$A:$J,3,FALSE))</f>
        <v>0</v>
      </c>
      <c r="C167" s="163">
        <f>IF(ISNA(VLOOKUP($J167,FM!$A:$J,4,FALSE)),0,VLOOKUP($J167,FM!$A:$J,4,FALSE))</f>
        <v>0</v>
      </c>
      <c r="D167" s="163">
        <f>IF(ISNA(VLOOKUP($J167,FM!$A:$J,5,FALSE)),0,VLOOKUP($J167,FM!$A:$J,5,FALSE))</f>
        <v>0</v>
      </c>
      <c r="E167" s="163">
        <f>IF(ISNA(VLOOKUP($J167,FM!$A:$J,6,FALSE)),0,VLOOKUP($J167,FM!$A:$J,6,FALSE))</f>
        <v>0</v>
      </c>
      <c r="F167" s="163">
        <f>IF(ISNA(VLOOKUP($J167,FM!$A:$J,7,FALSE)),0,VLOOKUP($J167,FM!$A:$J,7,FALSE))</f>
        <v>0</v>
      </c>
      <c r="G167" s="163">
        <f t="shared" si="26"/>
        <v>0</v>
      </c>
      <c r="H167" s="163">
        <f t="shared" si="26"/>
        <v>0</v>
      </c>
      <c r="I167" s="163">
        <f t="shared" si="27"/>
        <v>0</v>
      </c>
      <c r="J167" s="167" t="s">
        <v>889</v>
      </c>
    </row>
    <row r="168" spans="1:10" x14ac:dyDescent="0.3">
      <c r="A168" s="109" t="s">
        <v>185</v>
      </c>
      <c r="B168" s="60">
        <f>SUM(B139:B167)</f>
        <v>24120987.529999997</v>
      </c>
      <c r="C168" s="60">
        <f t="shared" ref="C168:I168" si="28">SUM(C139:C167)</f>
        <v>0</v>
      </c>
      <c r="D168" s="60">
        <f t="shared" si="28"/>
        <v>0</v>
      </c>
      <c r="E168" s="60">
        <f t="shared" si="28"/>
        <v>0</v>
      </c>
      <c r="F168" s="60">
        <f t="shared" si="28"/>
        <v>0</v>
      </c>
      <c r="G168" s="60">
        <f t="shared" si="28"/>
        <v>24120987.529999997</v>
      </c>
      <c r="H168" s="60">
        <f t="shared" si="28"/>
        <v>0</v>
      </c>
      <c r="I168" s="60">
        <f t="shared" si="28"/>
        <v>24120987.529999997</v>
      </c>
      <c r="J168" s="164" t="s">
        <v>606</v>
      </c>
    </row>
    <row r="169" spans="1:10" x14ac:dyDescent="0.3">
      <c r="A169" s="59" t="s">
        <v>186</v>
      </c>
      <c r="B169" s="60"/>
      <c r="C169" s="60"/>
      <c r="D169" s="60"/>
      <c r="E169" s="60"/>
      <c r="F169" s="60"/>
      <c r="G169" s="60"/>
      <c r="H169" s="60"/>
      <c r="I169" s="60"/>
    </row>
    <row r="170" spans="1:10" x14ac:dyDescent="0.3">
      <c r="A170" s="109" t="s">
        <v>187</v>
      </c>
      <c r="B170" s="60">
        <f>IF(ISNA(VLOOKUP($J170,FM!$A:$J,3,FALSE)),0,VLOOKUP($J170,FM!$A:$J,3,FALSE))</f>
        <v>2828107.77</v>
      </c>
      <c r="C170" s="60">
        <f>IF(ISNA(VLOOKUP($J170,FM!$A:$J,4,FALSE)),0,VLOOKUP($J170,FM!$A:$J,4,FALSE))</f>
        <v>0</v>
      </c>
      <c r="D170" s="60">
        <f>IF(ISNA(VLOOKUP($J170,FM!$A:$J,5,FALSE)),0,VLOOKUP($J170,FM!$A:$J,5,FALSE))</f>
        <v>0</v>
      </c>
      <c r="E170" s="60">
        <f>IF(ISNA(VLOOKUP($J170,FM!$A:$J,6,FALSE)),0,VLOOKUP($J170,FM!$A:$J,6,FALSE))</f>
        <v>0</v>
      </c>
      <c r="F170" s="60">
        <f>IF(ISNA(VLOOKUP($J170,FM!$A:$J,7,FALSE)),0,VLOOKUP($J170,FM!$A:$J,7,FALSE))</f>
        <v>0</v>
      </c>
      <c r="G170" s="60">
        <f t="shared" ref="G170:H205" si="29">B170+E170</f>
        <v>2828107.77</v>
      </c>
      <c r="H170" s="60">
        <f t="shared" si="29"/>
        <v>0</v>
      </c>
      <c r="I170" s="60">
        <f t="shared" ref="I170:I205" si="30">SUM(G170:H170)</f>
        <v>2828107.77</v>
      </c>
      <c r="J170" s="167" t="s">
        <v>644</v>
      </c>
    </row>
    <row r="171" spans="1:10" x14ac:dyDescent="0.3">
      <c r="A171" s="109" t="s">
        <v>188</v>
      </c>
      <c r="B171" s="60">
        <f>IF(ISNA(VLOOKUP($J171,FM!$A:$J,3,FALSE)),0,VLOOKUP($J171,FM!$A:$J,3,FALSE))</f>
        <v>1603559.2</v>
      </c>
      <c r="C171" s="60">
        <f>IF(ISNA(VLOOKUP($J171,FM!$A:$J,4,FALSE)),0,VLOOKUP($J171,FM!$A:$J,4,FALSE))</f>
        <v>0</v>
      </c>
      <c r="D171" s="60">
        <f>IF(ISNA(VLOOKUP($J171,FM!$A:$J,5,FALSE)),0,VLOOKUP($J171,FM!$A:$J,5,FALSE))</f>
        <v>0</v>
      </c>
      <c r="E171" s="60">
        <f>IF(ISNA(VLOOKUP($J171,FM!$A:$J,6,FALSE)),0,VLOOKUP($J171,FM!$A:$J,6,FALSE))</f>
        <v>0</v>
      </c>
      <c r="F171" s="60">
        <f>IF(ISNA(VLOOKUP($J171,FM!$A:$J,7,FALSE)),0,VLOOKUP($J171,FM!$A:$J,7,FALSE))</f>
        <v>0</v>
      </c>
      <c r="G171" s="60">
        <f t="shared" si="29"/>
        <v>1603559.2</v>
      </c>
      <c r="H171" s="60">
        <f t="shared" si="29"/>
        <v>0</v>
      </c>
      <c r="I171" s="60">
        <f t="shared" si="30"/>
        <v>1603559.2</v>
      </c>
      <c r="J171" s="167" t="s">
        <v>646</v>
      </c>
    </row>
    <row r="172" spans="1:10" x14ac:dyDescent="0.3">
      <c r="A172" s="109" t="s">
        <v>189</v>
      </c>
      <c r="B172" s="60">
        <f>IF(ISNA(VLOOKUP($J172,FM!$A:$J,3,FALSE)),0,VLOOKUP($J172,FM!$A:$J,3,FALSE))</f>
        <v>2240360.19</v>
      </c>
      <c r="C172" s="60">
        <f>IF(ISNA(VLOOKUP($J172,FM!$A:$J,4,FALSE)),0,VLOOKUP($J172,FM!$A:$J,4,FALSE))</f>
        <v>0</v>
      </c>
      <c r="D172" s="60">
        <f>IF(ISNA(VLOOKUP($J172,FM!$A:$J,5,FALSE)),0,VLOOKUP($J172,FM!$A:$J,5,FALSE))</f>
        <v>0</v>
      </c>
      <c r="E172" s="60">
        <f>IF(ISNA(VLOOKUP($J172,FM!$A:$J,6,FALSE)),0,VLOOKUP($J172,FM!$A:$J,6,FALSE))</f>
        <v>0</v>
      </c>
      <c r="F172" s="60">
        <f>IF(ISNA(VLOOKUP($J172,FM!$A:$J,7,FALSE)),0,VLOOKUP($J172,FM!$A:$J,7,FALSE))</f>
        <v>0</v>
      </c>
      <c r="G172" s="60">
        <f t="shared" si="29"/>
        <v>2240360.19</v>
      </c>
      <c r="H172" s="60">
        <f t="shared" si="29"/>
        <v>0</v>
      </c>
      <c r="I172" s="60">
        <f t="shared" si="30"/>
        <v>2240360.19</v>
      </c>
      <c r="J172" s="167" t="s">
        <v>648</v>
      </c>
    </row>
    <row r="173" spans="1:10" x14ac:dyDescent="0.3">
      <c r="A173" s="109" t="s">
        <v>190</v>
      </c>
      <c r="B173" s="60">
        <f>IF(ISNA(VLOOKUP($J173,FM!$A:$J,3,FALSE)),0,VLOOKUP($J173,FM!$A:$J,3,FALSE))</f>
        <v>2577803.29</v>
      </c>
      <c r="C173" s="60">
        <f>IF(ISNA(VLOOKUP($J173,FM!$A:$J,4,FALSE)),0,VLOOKUP($J173,FM!$A:$J,4,FALSE))</f>
        <v>0</v>
      </c>
      <c r="D173" s="60">
        <f>IF(ISNA(VLOOKUP($J173,FM!$A:$J,5,FALSE)),0,VLOOKUP($J173,FM!$A:$J,5,FALSE))</f>
        <v>0</v>
      </c>
      <c r="E173" s="60">
        <f>IF(ISNA(VLOOKUP($J173,FM!$A:$J,6,FALSE)),0,VLOOKUP($J173,FM!$A:$J,6,FALSE))</f>
        <v>0</v>
      </c>
      <c r="F173" s="60">
        <f>IF(ISNA(VLOOKUP($J173,FM!$A:$J,7,FALSE)),0,VLOOKUP($J173,FM!$A:$J,7,FALSE))</f>
        <v>0</v>
      </c>
      <c r="G173" s="60">
        <f t="shared" si="29"/>
        <v>2577803.29</v>
      </c>
      <c r="H173" s="60">
        <f t="shared" si="29"/>
        <v>0</v>
      </c>
      <c r="I173" s="60">
        <f t="shared" si="30"/>
        <v>2577803.29</v>
      </c>
      <c r="J173" s="167" t="s">
        <v>650</v>
      </c>
    </row>
    <row r="174" spans="1:10" x14ac:dyDescent="0.3">
      <c r="A174" s="109" t="s">
        <v>191</v>
      </c>
      <c r="B174" s="60">
        <f>IF(ISNA(VLOOKUP($J174,FM!$A:$J,3,FALSE)),0,VLOOKUP($J174,FM!$A:$J,3,FALSE))</f>
        <v>4481910.3</v>
      </c>
      <c r="C174" s="60">
        <f>IF(ISNA(VLOOKUP($J174,FM!$A:$J,4,FALSE)),0,VLOOKUP($J174,FM!$A:$J,4,FALSE))</f>
        <v>0</v>
      </c>
      <c r="D174" s="60">
        <f>IF(ISNA(VLOOKUP($J174,FM!$A:$J,5,FALSE)),0,VLOOKUP($J174,FM!$A:$J,5,FALSE))</f>
        <v>0</v>
      </c>
      <c r="E174" s="60">
        <f>IF(ISNA(VLOOKUP($J174,FM!$A:$J,6,FALSE)),0,VLOOKUP($J174,FM!$A:$J,6,FALSE))</f>
        <v>0</v>
      </c>
      <c r="F174" s="60">
        <f>IF(ISNA(VLOOKUP($J174,FM!$A:$J,7,FALSE)),0,VLOOKUP($J174,FM!$A:$J,7,FALSE))</f>
        <v>0</v>
      </c>
      <c r="G174" s="60">
        <f t="shared" si="29"/>
        <v>4481910.3</v>
      </c>
      <c r="H174" s="60">
        <f t="shared" si="29"/>
        <v>0</v>
      </c>
      <c r="I174" s="60">
        <f t="shared" si="30"/>
        <v>4481910.3</v>
      </c>
      <c r="J174" s="167" t="s">
        <v>652</v>
      </c>
    </row>
    <row r="175" spans="1:10" x14ac:dyDescent="0.3">
      <c r="A175" s="109" t="s">
        <v>192</v>
      </c>
      <c r="B175" s="60">
        <f>IF(ISNA(VLOOKUP($J175,FM!$A:$J,3,FALSE)),0,VLOOKUP($J175,FM!$A:$J,3,FALSE))</f>
        <v>4408.16</v>
      </c>
      <c r="C175" s="60">
        <f>IF(ISNA(VLOOKUP($J175,FM!$A:$J,4,FALSE)),0,VLOOKUP($J175,FM!$A:$J,4,FALSE))</f>
        <v>0</v>
      </c>
      <c r="D175" s="60">
        <f>IF(ISNA(VLOOKUP($J175,FM!$A:$J,5,FALSE)),0,VLOOKUP($J175,FM!$A:$J,5,FALSE))</f>
        <v>0</v>
      </c>
      <c r="E175" s="60">
        <f>IF(ISNA(VLOOKUP($J175,FM!$A:$J,6,FALSE)),0,VLOOKUP($J175,FM!$A:$J,6,FALSE))</f>
        <v>0</v>
      </c>
      <c r="F175" s="60">
        <f>IF(ISNA(VLOOKUP($J175,FM!$A:$J,7,FALSE)),0,VLOOKUP($J175,FM!$A:$J,7,FALSE))</f>
        <v>0</v>
      </c>
      <c r="G175" s="60">
        <f t="shared" si="29"/>
        <v>4408.16</v>
      </c>
      <c r="H175" s="60">
        <f t="shared" si="29"/>
        <v>0</v>
      </c>
      <c r="I175" s="60">
        <f t="shared" si="30"/>
        <v>4408.16</v>
      </c>
      <c r="J175" s="167" t="s">
        <v>654</v>
      </c>
    </row>
    <row r="176" spans="1:10" x14ac:dyDescent="0.3">
      <c r="A176" s="109" t="s">
        <v>193</v>
      </c>
      <c r="B176" s="60">
        <f>IF(ISNA(VLOOKUP($J176,FM!$A:$J,3,FALSE)),0,VLOOKUP($J176,FM!$A:$J,3,FALSE))</f>
        <v>2529506.5</v>
      </c>
      <c r="C176" s="60">
        <f>IF(ISNA(VLOOKUP($J176,FM!$A:$J,4,FALSE)),0,VLOOKUP($J176,FM!$A:$J,4,FALSE))</f>
        <v>0</v>
      </c>
      <c r="D176" s="60">
        <f>IF(ISNA(VLOOKUP($J176,FM!$A:$J,5,FALSE)),0,VLOOKUP($J176,FM!$A:$J,5,FALSE))</f>
        <v>0</v>
      </c>
      <c r="E176" s="60">
        <f>IF(ISNA(VLOOKUP($J176,FM!$A:$J,6,FALSE)),0,VLOOKUP($J176,FM!$A:$J,6,FALSE))</f>
        <v>0</v>
      </c>
      <c r="F176" s="60">
        <f>IF(ISNA(VLOOKUP($J176,FM!$A:$J,7,FALSE)),0,VLOOKUP($J176,FM!$A:$J,7,FALSE))</f>
        <v>0</v>
      </c>
      <c r="G176" s="60">
        <f t="shared" si="29"/>
        <v>2529506.5</v>
      </c>
      <c r="H176" s="60">
        <f t="shared" si="29"/>
        <v>0</v>
      </c>
      <c r="I176" s="60">
        <f t="shared" si="30"/>
        <v>2529506.5</v>
      </c>
      <c r="J176" s="167" t="s">
        <v>656</v>
      </c>
    </row>
    <row r="177" spans="1:10" x14ac:dyDescent="0.3">
      <c r="A177" s="109" t="s">
        <v>194</v>
      </c>
      <c r="B177" s="60">
        <f>IF(ISNA(VLOOKUP($J177,FM!$A:$J,3,FALSE)),0,VLOOKUP($J177,FM!$A:$J,3,FALSE))</f>
        <v>3574237.81</v>
      </c>
      <c r="C177" s="60">
        <f>IF(ISNA(VLOOKUP($J177,FM!$A:$J,4,FALSE)),0,VLOOKUP($J177,FM!$A:$J,4,FALSE))</f>
        <v>0</v>
      </c>
      <c r="D177" s="60">
        <f>IF(ISNA(VLOOKUP($J177,FM!$A:$J,5,FALSE)),0,VLOOKUP($J177,FM!$A:$J,5,FALSE))</f>
        <v>0</v>
      </c>
      <c r="E177" s="60">
        <f>IF(ISNA(VLOOKUP($J177,FM!$A:$J,6,FALSE)),0,VLOOKUP($J177,FM!$A:$J,6,FALSE))</f>
        <v>0</v>
      </c>
      <c r="F177" s="60">
        <f>IF(ISNA(VLOOKUP($J177,FM!$A:$J,7,FALSE)),0,VLOOKUP($J177,FM!$A:$J,7,FALSE))</f>
        <v>0</v>
      </c>
      <c r="G177" s="60">
        <f t="shared" si="29"/>
        <v>3574237.81</v>
      </c>
      <c r="H177" s="60">
        <f t="shared" si="29"/>
        <v>0</v>
      </c>
      <c r="I177" s="60">
        <f t="shared" si="30"/>
        <v>3574237.81</v>
      </c>
      <c r="J177" s="167" t="s">
        <v>658</v>
      </c>
    </row>
    <row r="178" spans="1:10" x14ac:dyDescent="0.3">
      <c r="A178" s="109" t="s">
        <v>195</v>
      </c>
      <c r="B178" s="60">
        <f>IF(ISNA(VLOOKUP($J178,FM!$A:$J,3,FALSE)),0,VLOOKUP($J178,FM!$A:$J,3,FALSE))</f>
        <v>10194398.91</v>
      </c>
      <c r="C178" s="60">
        <f>IF(ISNA(VLOOKUP($J178,FM!$A:$J,4,FALSE)),0,VLOOKUP($J178,FM!$A:$J,4,FALSE))</f>
        <v>0</v>
      </c>
      <c r="D178" s="60">
        <f>IF(ISNA(VLOOKUP($J178,FM!$A:$J,5,FALSE)),0,VLOOKUP($J178,FM!$A:$J,5,FALSE))</f>
        <v>0</v>
      </c>
      <c r="E178" s="60">
        <f>IF(ISNA(VLOOKUP($J178,FM!$A:$J,6,FALSE)),0,VLOOKUP($J178,FM!$A:$J,6,FALSE))</f>
        <v>0</v>
      </c>
      <c r="F178" s="60">
        <f>IF(ISNA(VLOOKUP($J178,FM!$A:$J,7,FALSE)),0,VLOOKUP($J178,FM!$A:$J,7,FALSE))</f>
        <v>0</v>
      </c>
      <c r="G178" s="60">
        <f t="shared" si="29"/>
        <v>10194398.91</v>
      </c>
      <c r="H178" s="60">
        <f t="shared" si="29"/>
        <v>0</v>
      </c>
      <c r="I178" s="60">
        <f t="shared" si="30"/>
        <v>10194398.91</v>
      </c>
      <c r="J178" s="167" t="s">
        <v>660</v>
      </c>
    </row>
    <row r="179" spans="1:10" x14ac:dyDescent="0.3">
      <c r="A179" s="109" t="s">
        <v>196</v>
      </c>
      <c r="B179" s="60">
        <f>IF(ISNA(VLOOKUP($J179,FM!$A:$J,3,FALSE)),0,VLOOKUP($J179,FM!$A:$J,3,FALSE))</f>
        <v>1501276.65</v>
      </c>
      <c r="C179" s="60">
        <f>IF(ISNA(VLOOKUP($J179,FM!$A:$J,4,FALSE)),0,VLOOKUP($J179,FM!$A:$J,4,FALSE))</f>
        <v>0</v>
      </c>
      <c r="D179" s="60">
        <f>IF(ISNA(VLOOKUP($J179,FM!$A:$J,5,FALSE)),0,VLOOKUP($J179,FM!$A:$J,5,FALSE))</f>
        <v>0</v>
      </c>
      <c r="E179" s="60">
        <f>IF(ISNA(VLOOKUP($J179,FM!$A:$J,6,FALSE)),0,VLOOKUP($J179,FM!$A:$J,6,FALSE))</f>
        <v>0</v>
      </c>
      <c r="F179" s="60">
        <f>IF(ISNA(VLOOKUP($J179,FM!$A:$J,7,FALSE)),0,VLOOKUP($J179,FM!$A:$J,7,FALSE))</f>
        <v>0</v>
      </c>
      <c r="G179" s="60">
        <f t="shared" si="29"/>
        <v>1501276.65</v>
      </c>
      <c r="H179" s="60">
        <f t="shared" si="29"/>
        <v>0</v>
      </c>
      <c r="I179" s="60">
        <f t="shared" si="30"/>
        <v>1501276.65</v>
      </c>
      <c r="J179" s="167" t="s">
        <v>662</v>
      </c>
    </row>
    <row r="180" spans="1:10" x14ac:dyDescent="0.3">
      <c r="A180" s="109" t="s">
        <v>197</v>
      </c>
      <c r="B180" s="60">
        <f>IF(ISNA(VLOOKUP($J180,FM!$A:$J,3,FALSE)),0,VLOOKUP($J180,FM!$A:$J,3,FALSE))</f>
        <v>567073.49</v>
      </c>
      <c r="C180" s="60">
        <f>IF(ISNA(VLOOKUP($J180,FM!$A:$J,4,FALSE)),0,VLOOKUP($J180,FM!$A:$J,4,FALSE))</f>
        <v>0</v>
      </c>
      <c r="D180" s="60">
        <f>IF(ISNA(VLOOKUP($J180,FM!$A:$J,5,FALSE)),0,VLOOKUP($J180,FM!$A:$J,5,FALSE))</f>
        <v>0</v>
      </c>
      <c r="E180" s="60">
        <f>IF(ISNA(VLOOKUP($J180,FM!$A:$J,6,FALSE)),0,VLOOKUP($J180,FM!$A:$J,6,FALSE))</f>
        <v>0</v>
      </c>
      <c r="F180" s="60">
        <f>IF(ISNA(VLOOKUP($J180,FM!$A:$J,7,FALSE)),0,VLOOKUP($J180,FM!$A:$J,7,FALSE))</f>
        <v>0</v>
      </c>
      <c r="G180" s="60">
        <f t="shared" si="29"/>
        <v>567073.49</v>
      </c>
      <c r="H180" s="60">
        <f t="shared" si="29"/>
        <v>0</v>
      </c>
      <c r="I180" s="60">
        <f t="shared" si="30"/>
        <v>567073.49</v>
      </c>
      <c r="J180" s="167" t="s">
        <v>664</v>
      </c>
    </row>
    <row r="181" spans="1:10" x14ac:dyDescent="0.3">
      <c r="A181" s="109" t="s">
        <v>198</v>
      </c>
      <c r="B181" s="60">
        <f>IF(ISNA(VLOOKUP($J181,FM!$A:$J,3,FALSE)),0,VLOOKUP($J181,FM!$A:$J,3,FALSE))</f>
        <v>0</v>
      </c>
      <c r="C181" s="60">
        <f>IF(ISNA(VLOOKUP($J181,FM!$A:$J,4,FALSE)),0,VLOOKUP($J181,FM!$A:$J,4,FALSE))</f>
        <v>0</v>
      </c>
      <c r="D181" s="60">
        <f>IF(ISNA(VLOOKUP($J181,FM!$A:$J,5,FALSE)),0,VLOOKUP($J181,FM!$A:$J,5,FALSE))</f>
        <v>0</v>
      </c>
      <c r="E181" s="60">
        <f>IF(ISNA(VLOOKUP($J181,FM!$A:$J,6,FALSE)),0,VLOOKUP($J181,FM!$A:$J,6,FALSE))</f>
        <v>0</v>
      </c>
      <c r="F181" s="60">
        <f>IF(ISNA(VLOOKUP($J181,FM!$A:$J,7,FALSE)),0,VLOOKUP($J181,FM!$A:$J,7,FALSE))</f>
        <v>0</v>
      </c>
      <c r="G181" s="60">
        <f t="shared" si="29"/>
        <v>0</v>
      </c>
      <c r="H181" s="60">
        <f t="shared" si="29"/>
        <v>0</v>
      </c>
      <c r="I181" s="60">
        <f t="shared" si="30"/>
        <v>0</v>
      </c>
      <c r="J181" s="167" t="s">
        <v>890</v>
      </c>
    </row>
    <row r="182" spans="1:10" x14ac:dyDescent="0.3">
      <c r="A182" s="109" t="s">
        <v>199</v>
      </c>
      <c r="B182" s="60">
        <f>IF(ISNA(VLOOKUP($J182,FM!$A:$J,3,FALSE)),0,VLOOKUP($J182,FM!$A:$J,3,FALSE))</f>
        <v>1367269.19</v>
      </c>
      <c r="C182" s="60">
        <f>IF(ISNA(VLOOKUP($J182,FM!$A:$J,4,FALSE)),0,VLOOKUP($J182,FM!$A:$J,4,FALSE))</f>
        <v>0</v>
      </c>
      <c r="D182" s="60">
        <f>IF(ISNA(VLOOKUP($J182,FM!$A:$J,5,FALSE)),0,VLOOKUP($J182,FM!$A:$J,5,FALSE))</f>
        <v>0</v>
      </c>
      <c r="E182" s="60">
        <f>IF(ISNA(VLOOKUP($J182,FM!$A:$J,6,FALSE)),0,VLOOKUP($J182,FM!$A:$J,6,FALSE))</f>
        <v>0</v>
      </c>
      <c r="F182" s="60">
        <f>IF(ISNA(VLOOKUP($J182,FM!$A:$J,7,FALSE)),0,VLOOKUP($J182,FM!$A:$J,7,FALSE))</f>
        <v>0</v>
      </c>
      <c r="G182" s="60">
        <f t="shared" si="29"/>
        <v>1367269.19</v>
      </c>
      <c r="H182" s="60">
        <f t="shared" si="29"/>
        <v>0</v>
      </c>
      <c r="I182" s="60">
        <f t="shared" si="30"/>
        <v>1367269.19</v>
      </c>
      <c r="J182" s="167" t="s">
        <v>666</v>
      </c>
    </row>
    <row r="183" spans="1:10" x14ac:dyDescent="0.3">
      <c r="A183" s="109" t="s">
        <v>200</v>
      </c>
      <c r="B183" s="60">
        <f>IF(ISNA(VLOOKUP($J183,FM!$A:$J,3,FALSE)),0,VLOOKUP($J183,FM!$A:$J,3,FALSE))</f>
        <v>34816830.149999999</v>
      </c>
      <c r="C183" s="60">
        <f>IF(ISNA(VLOOKUP($J183,FM!$A:$J,4,FALSE)),0,VLOOKUP($J183,FM!$A:$J,4,FALSE))</f>
        <v>0</v>
      </c>
      <c r="D183" s="60">
        <f>IF(ISNA(VLOOKUP($J183,FM!$A:$J,5,FALSE)),0,VLOOKUP($J183,FM!$A:$J,5,FALSE))</f>
        <v>0</v>
      </c>
      <c r="E183" s="60">
        <f>IF(ISNA(VLOOKUP($J183,FM!$A:$J,6,FALSE)),0,VLOOKUP($J183,FM!$A:$J,6,FALSE))</f>
        <v>0</v>
      </c>
      <c r="F183" s="60">
        <f>IF(ISNA(VLOOKUP($J183,FM!$A:$J,7,FALSE)),0,VLOOKUP($J183,FM!$A:$J,7,FALSE))</f>
        <v>0</v>
      </c>
      <c r="G183" s="60">
        <f t="shared" si="29"/>
        <v>34816830.149999999</v>
      </c>
      <c r="H183" s="60">
        <f t="shared" si="29"/>
        <v>0</v>
      </c>
      <c r="I183" s="60">
        <f t="shared" si="30"/>
        <v>34816830.149999999</v>
      </c>
      <c r="J183" s="167" t="s">
        <v>668</v>
      </c>
    </row>
    <row r="184" spans="1:10" x14ac:dyDescent="0.3">
      <c r="A184" s="109" t="s">
        <v>201</v>
      </c>
      <c r="B184" s="60">
        <f>IF(ISNA(VLOOKUP($J184,FM!$A:$J,3,FALSE)),0,VLOOKUP($J184,FM!$A:$J,3,FALSE))</f>
        <v>9900645.3200000003</v>
      </c>
      <c r="C184" s="60">
        <f>IF(ISNA(VLOOKUP($J184,FM!$A:$J,4,FALSE)),0,VLOOKUP($J184,FM!$A:$J,4,FALSE))</f>
        <v>0</v>
      </c>
      <c r="D184" s="60">
        <f>IF(ISNA(VLOOKUP($J184,FM!$A:$J,5,FALSE)),0,VLOOKUP($J184,FM!$A:$J,5,FALSE))</f>
        <v>0</v>
      </c>
      <c r="E184" s="60">
        <f>IF(ISNA(VLOOKUP($J184,FM!$A:$J,6,FALSE)),0,VLOOKUP($J184,FM!$A:$J,6,FALSE))</f>
        <v>0</v>
      </c>
      <c r="F184" s="60">
        <f>IF(ISNA(VLOOKUP($J184,FM!$A:$J,7,FALSE)),0,VLOOKUP($J184,FM!$A:$J,7,FALSE))</f>
        <v>0</v>
      </c>
      <c r="G184" s="60">
        <f t="shared" si="29"/>
        <v>9900645.3200000003</v>
      </c>
      <c r="H184" s="60">
        <f t="shared" si="29"/>
        <v>0</v>
      </c>
      <c r="I184" s="60">
        <f t="shared" si="30"/>
        <v>9900645.3200000003</v>
      </c>
      <c r="J184" s="167" t="s">
        <v>670</v>
      </c>
    </row>
    <row r="185" spans="1:10" x14ac:dyDescent="0.3">
      <c r="A185" s="109" t="s">
        <v>202</v>
      </c>
      <c r="B185" s="60">
        <f>IF(ISNA(VLOOKUP($J185,FM!$A:$J,3,FALSE)),0,VLOOKUP($J185,FM!$A:$J,3,FALSE))</f>
        <v>107940.42</v>
      </c>
      <c r="C185" s="60">
        <f>IF(ISNA(VLOOKUP($J185,FM!$A:$J,4,FALSE)),0,VLOOKUP($J185,FM!$A:$J,4,FALSE))</f>
        <v>0</v>
      </c>
      <c r="D185" s="60">
        <f>IF(ISNA(VLOOKUP($J185,FM!$A:$J,5,FALSE)),0,VLOOKUP($J185,FM!$A:$J,5,FALSE))</f>
        <v>0</v>
      </c>
      <c r="E185" s="60">
        <f>IF(ISNA(VLOOKUP($J185,FM!$A:$J,6,FALSE)),0,VLOOKUP($J185,FM!$A:$J,6,FALSE))</f>
        <v>0</v>
      </c>
      <c r="F185" s="60">
        <f>IF(ISNA(VLOOKUP($J185,FM!$A:$J,7,FALSE)),0,VLOOKUP($J185,FM!$A:$J,7,FALSE))</f>
        <v>0</v>
      </c>
      <c r="G185" s="60">
        <f t="shared" si="29"/>
        <v>107940.42</v>
      </c>
      <c r="H185" s="60">
        <f t="shared" si="29"/>
        <v>0</v>
      </c>
      <c r="I185" s="60">
        <f t="shared" si="30"/>
        <v>107940.42</v>
      </c>
      <c r="J185" s="167" t="s">
        <v>672</v>
      </c>
    </row>
    <row r="186" spans="1:10" x14ac:dyDescent="0.3">
      <c r="A186" s="109" t="s">
        <v>203</v>
      </c>
      <c r="B186" s="60">
        <f>IF(ISNA(VLOOKUP($J186,FM!$A:$J,3,FALSE)),0,VLOOKUP($J186,FM!$A:$J,3,FALSE))</f>
        <v>2003454.6</v>
      </c>
      <c r="C186" s="60">
        <f>IF(ISNA(VLOOKUP($J186,FM!$A:$J,4,FALSE)),0,VLOOKUP($J186,FM!$A:$J,4,FALSE))</f>
        <v>0</v>
      </c>
      <c r="D186" s="60">
        <f>IF(ISNA(VLOOKUP($J186,FM!$A:$J,5,FALSE)),0,VLOOKUP($J186,FM!$A:$J,5,FALSE))</f>
        <v>0</v>
      </c>
      <c r="E186" s="60">
        <f>IF(ISNA(VLOOKUP($J186,FM!$A:$J,6,FALSE)),0,VLOOKUP($J186,FM!$A:$J,6,FALSE))</f>
        <v>0</v>
      </c>
      <c r="F186" s="60">
        <f>IF(ISNA(VLOOKUP($J186,FM!$A:$J,7,FALSE)),0,VLOOKUP($J186,FM!$A:$J,7,FALSE))</f>
        <v>0</v>
      </c>
      <c r="G186" s="60">
        <f t="shared" si="29"/>
        <v>2003454.6</v>
      </c>
      <c r="H186" s="60">
        <f t="shared" si="29"/>
        <v>0</v>
      </c>
      <c r="I186" s="60">
        <f t="shared" si="30"/>
        <v>2003454.6</v>
      </c>
      <c r="J186" s="167" t="s">
        <v>674</v>
      </c>
    </row>
    <row r="187" spans="1:10" x14ac:dyDescent="0.3">
      <c r="A187" s="109" t="s">
        <v>204</v>
      </c>
      <c r="B187" s="60">
        <f>IF(ISNA(VLOOKUP($J187,FM!$A:$J,3,FALSE)),0,VLOOKUP($J187,FM!$A:$J,3,FALSE))</f>
        <v>580259.18999999994</v>
      </c>
      <c r="C187" s="60">
        <f>IF(ISNA(VLOOKUP($J187,FM!$A:$J,4,FALSE)),0,VLOOKUP($J187,FM!$A:$J,4,FALSE))</f>
        <v>0</v>
      </c>
      <c r="D187" s="60">
        <f>IF(ISNA(VLOOKUP($J187,FM!$A:$J,5,FALSE)),0,VLOOKUP($J187,FM!$A:$J,5,FALSE))</f>
        <v>0</v>
      </c>
      <c r="E187" s="60">
        <f>IF(ISNA(VLOOKUP($J187,FM!$A:$J,6,FALSE)),0,VLOOKUP($J187,FM!$A:$J,6,FALSE))</f>
        <v>0</v>
      </c>
      <c r="F187" s="60">
        <f>IF(ISNA(VLOOKUP($J187,FM!$A:$J,7,FALSE)),0,VLOOKUP($J187,FM!$A:$J,7,FALSE))</f>
        <v>0</v>
      </c>
      <c r="G187" s="60">
        <f t="shared" si="29"/>
        <v>580259.18999999994</v>
      </c>
      <c r="H187" s="60">
        <f t="shared" si="29"/>
        <v>0</v>
      </c>
      <c r="I187" s="60">
        <f t="shared" si="30"/>
        <v>580259.18999999994</v>
      </c>
      <c r="J187" s="167" t="s">
        <v>676</v>
      </c>
    </row>
    <row r="188" spans="1:10" x14ac:dyDescent="0.3">
      <c r="A188" s="109" t="s">
        <v>205</v>
      </c>
      <c r="B188" s="60">
        <f>IF(ISNA(VLOOKUP($J188,FM!$A:$J,3,FALSE)),0,VLOOKUP($J188,FM!$A:$J,3,FALSE))</f>
        <v>0</v>
      </c>
      <c r="C188" s="60">
        <f>IF(ISNA(VLOOKUP($J188,FM!$A:$J,4,FALSE)),0,VLOOKUP($J188,FM!$A:$J,4,FALSE))</f>
        <v>0</v>
      </c>
      <c r="D188" s="60">
        <f>IF(ISNA(VLOOKUP($J188,FM!$A:$J,5,FALSE)),0,VLOOKUP($J188,FM!$A:$J,5,FALSE))</f>
        <v>0</v>
      </c>
      <c r="E188" s="60">
        <f>IF(ISNA(VLOOKUP($J188,FM!$A:$J,6,FALSE)),0,VLOOKUP($J188,FM!$A:$J,6,FALSE))</f>
        <v>0</v>
      </c>
      <c r="F188" s="60">
        <f>IF(ISNA(VLOOKUP($J188,FM!$A:$J,7,FALSE)),0,VLOOKUP($J188,FM!$A:$J,7,FALSE))</f>
        <v>0</v>
      </c>
      <c r="G188" s="60">
        <f t="shared" si="29"/>
        <v>0</v>
      </c>
      <c r="H188" s="60">
        <f t="shared" si="29"/>
        <v>0</v>
      </c>
      <c r="I188" s="60">
        <f t="shared" si="30"/>
        <v>0</v>
      </c>
      <c r="J188" s="167" t="s">
        <v>891</v>
      </c>
    </row>
    <row r="189" spans="1:10" x14ac:dyDescent="0.3">
      <c r="A189" s="109" t="s">
        <v>206</v>
      </c>
      <c r="B189" s="60">
        <f>IF(ISNA(VLOOKUP($J189,FM!$A:$J,3,FALSE)),0,VLOOKUP($J189,FM!$A:$J,3,FALSE))</f>
        <v>0</v>
      </c>
      <c r="C189" s="60">
        <f>IF(ISNA(VLOOKUP($J189,FM!$A:$J,4,FALSE)),0,VLOOKUP($J189,FM!$A:$J,4,FALSE))</f>
        <v>2187538.36</v>
      </c>
      <c r="D189" s="60">
        <f>IF(ISNA(VLOOKUP($J189,FM!$A:$J,5,FALSE)),0,VLOOKUP($J189,FM!$A:$J,5,FALSE))</f>
        <v>0</v>
      </c>
      <c r="E189" s="60">
        <f>IF(ISNA(VLOOKUP($J189,FM!$A:$J,6,FALSE)),0,VLOOKUP($J189,FM!$A:$J,6,FALSE))</f>
        <v>0</v>
      </c>
      <c r="F189" s="60">
        <f>IF(ISNA(VLOOKUP($J189,FM!$A:$J,7,FALSE)),0,VLOOKUP($J189,FM!$A:$J,7,FALSE))</f>
        <v>0</v>
      </c>
      <c r="G189" s="60">
        <f t="shared" si="29"/>
        <v>0</v>
      </c>
      <c r="H189" s="60">
        <f t="shared" si="29"/>
        <v>2187538.36</v>
      </c>
      <c r="I189" s="60">
        <f t="shared" si="30"/>
        <v>2187538.36</v>
      </c>
      <c r="J189" s="167" t="s">
        <v>678</v>
      </c>
    </row>
    <row r="190" spans="1:10" x14ac:dyDescent="0.3">
      <c r="A190" s="109" t="s">
        <v>207</v>
      </c>
      <c r="B190" s="60">
        <f>IF(ISNA(VLOOKUP($J190,FM!$A:$J,3,FALSE)),0,VLOOKUP($J190,FM!$A:$J,3,FALSE))</f>
        <v>0</v>
      </c>
      <c r="C190" s="60">
        <f>IF(ISNA(VLOOKUP($J190,FM!$A:$J,4,FALSE)),0,VLOOKUP($J190,FM!$A:$J,4,FALSE))</f>
        <v>258821.35</v>
      </c>
      <c r="D190" s="60">
        <f>IF(ISNA(VLOOKUP($J190,FM!$A:$J,5,FALSE)),0,VLOOKUP($J190,FM!$A:$J,5,FALSE))</f>
        <v>0</v>
      </c>
      <c r="E190" s="60">
        <f>IF(ISNA(VLOOKUP($J190,FM!$A:$J,6,FALSE)),0,VLOOKUP($J190,FM!$A:$J,6,FALSE))</f>
        <v>0</v>
      </c>
      <c r="F190" s="60">
        <f>IF(ISNA(VLOOKUP($J190,FM!$A:$J,7,FALSE)),0,VLOOKUP($J190,FM!$A:$J,7,FALSE))</f>
        <v>0</v>
      </c>
      <c r="G190" s="60">
        <f t="shared" si="29"/>
        <v>0</v>
      </c>
      <c r="H190" s="60">
        <f t="shared" si="29"/>
        <v>258821.35</v>
      </c>
      <c r="I190" s="60">
        <f t="shared" si="30"/>
        <v>258821.35</v>
      </c>
      <c r="J190" s="167" t="s">
        <v>679</v>
      </c>
    </row>
    <row r="191" spans="1:10" x14ac:dyDescent="0.3">
      <c r="A191" s="109" t="s">
        <v>208</v>
      </c>
      <c r="B191" s="60">
        <f>IF(ISNA(VLOOKUP($J191,FM!$A:$J,3,FALSE)),0,VLOOKUP($J191,FM!$A:$J,3,FALSE))</f>
        <v>0</v>
      </c>
      <c r="C191" s="60">
        <f>IF(ISNA(VLOOKUP($J191,FM!$A:$J,4,FALSE)),0,VLOOKUP($J191,FM!$A:$J,4,FALSE))</f>
        <v>16786165.920000002</v>
      </c>
      <c r="D191" s="60">
        <f>IF(ISNA(VLOOKUP($J191,FM!$A:$J,5,FALSE)),0,VLOOKUP($J191,FM!$A:$J,5,FALSE))</f>
        <v>0</v>
      </c>
      <c r="E191" s="60">
        <f>IF(ISNA(VLOOKUP($J191,FM!$A:$J,6,FALSE)),0,VLOOKUP($J191,FM!$A:$J,6,FALSE))</f>
        <v>0</v>
      </c>
      <c r="F191" s="60">
        <f>IF(ISNA(VLOOKUP($J191,FM!$A:$J,7,FALSE)),0,VLOOKUP($J191,FM!$A:$J,7,FALSE))</f>
        <v>0</v>
      </c>
      <c r="G191" s="60">
        <f t="shared" si="29"/>
        <v>0</v>
      </c>
      <c r="H191" s="60">
        <f t="shared" si="29"/>
        <v>16786165.920000002</v>
      </c>
      <c r="I191" s="60">
        <f t="shared" si="30"/>
        <v>16786165.920000002</v>
      </c>
      <c r="J191" s="167" t="s">
        <v>680</v>
      </c>
    </row>
    <row r="192" spans="1:10" x14ac:dyDescent="0.3">
      <c r="A192" s="109" t="s">
        <v>209</v>
      </c>
      <c r="B192" s="60">
        <f>IF(ISNA(VLOOKUP($J192,FM!$A:$J,3,FALSE)),0,VLOOKUP($J192,FM!$A:$J,3,FALSE))</f>
        <v>0</v>
      </c>
      <c r="C192" s="60">
        <f>IF(ISNA(VLOOKUP($J192,FM!$A:$J,4,FALSE)),0,VLOOKUP($J192,FM!$A:$J,4,FALSE))</f>
        <v>1759721.67</v>
      </c>
      <c r="D192" s="60">
        <f>IF(ISNA(VLOOKUP($J192,FM!$A:$J,5,FALSE)),0,VLOOKUP($J192,FM!$A:$J,5,FALSE))</f>
        <v>0</v>
      </c>
      <c r="E192" s="60">
        <f>IF(ISNA(VLOOKUP($J192,FM!$A:$J,6,FALSE)),0,VLOOKUP($J192,FM!$A:$J,6,FALSE))</f>
        <v>0</v>
      </c>
      <c r="F192" s="60">
        <f>IF(ISNA(VLOOKUP($J192,FM!$A:$J,7,FALSE)),0,VLOOKUP($J192,FM!$A:$J,7,FALSE))</f>
        <v>0</v>
      </c>
      <c r="G192" s="60">
        <f t="shared" si="29"/>
        <v>0</v>
      </c>
      <c r="H192" s="60">
        <f t="shared" si="29"/>
        <v>1759721.67</v>
      </c>
      <c r="I192" s="60">
        <f t="shared" si="30"/>
        <v>1759721.67</v>
      </c>
      <c r="J192" s="167" t="s">
        <v>682</v>
      </c>
    </row>
    <row r="193" spans="1:12" x14ac:dyDescent="0.3">
      <c r="A193" s="109" t="s">
        <v>210</v>
      </c>
      <c r="B193" s="60">
        <f>IF(ISNA(VLOOKUP($J193,FM!$A:$J,3,FALSE)),0,VLOOKUP($J193,FM!$A:$J,3,FALSE))</f>
        <v>0</v>
      </c>
      <c r="C193" s="60">
        <f>IF(ISNA(VLOOKUP($J193,FM!$A:$J,4,FALSE)),0,VLOOKUP($J193,FM!$A:$J,4,FALSE))</f>
        <v>367009.2</v>
      </c>
      <c r="D193" s="60">
        <f>IF(ISNA(VLOOKUP($J193,FM!$A:$J,5,FALSE)),0,VLOOKUP($J193,FM!$A:$J,5,FALSE))</f>
        <v>0</v>
      </c>
      <c r="E193" s="60">
        <f>IF(ISNA(VLOOKUP($J193,FM!$A:$J,6,FALSE)),0,VLOOKUP($J193,FM!$A:$J,6,FALSE))</f>
        <v>0</v>
      </c>
      <c r="F193" s="60">
        <f>IF(ISNA(VLOOKUP($J193,FM!$A:$J,7,FALSE)),0,VLOOKUP($J193,FM!$A:$J,7,FALSE))</f>
        <v>0</v>
      </c>
      <c r="G193" s="60">
        <f t="shared" si="29"/>
        <v>0</v>
      </c>
      <c r="H193" s="60">
        <f t="shared" si="29"/>
        <v>367009.2</v>
      </c>
      <c r="I193" s="60">
        <f t="shared" si="30"/>
        <v>367009.2</v>
      </c>
      <c r="J193" s="167" t="s">
        <v>684</v>
      </c>
    </row>
    <row r="194" spans="1:12" x14ac:dyDescent="0.3">
      <c r="A194" s="109" t="s">
        <v>211</v>
      </c>
      <c r="B194" s="60">
        <f>IF(ISNA(VLOOKUP($J194,FM!$A:$J,3,FALSE)),0,VLOOKUP($J194,FM!$A:$J,3,FALSE))</f>
        <v>0</v>
      </c>
      <c r="C194" s="60">
        <f>IF(ISNA(VLOOKUP($J194,FM!$A:$J,4,FALSE)),0,VLOOKUP($J194,FM!$A:$J,4,FALSE))</f>
        <v>1898323.56</v>
      </c>
      <c r="D194" s="60">
        <f>IF(ISNA(VLOOKUP($J194,FM!$A:$J,5,FALSE)),0,VLOOKUP($J194,FM!$A:$J,5,FALSE))</f>
        <v>0</v>
      </c>
      <c r="E194" s="60">
        <f>IF(ISNA(VLOOKUP($J194,FM!$A:$J,6,FALSE)),0,VLOOKUP($J194,FM!$A:$J,6,FALSE))</f>
        <v>0</v>
      </c>
      <c r="F194" s="60">
        <f>IF(ISNA(VLOOKUP($J194,FM!$A:$J,7,FALSE)),0,VLOOKUP($J194,FM!$A:$J,7,FALSE))</f>
        <v>0</v>
      </c>
      <c r="G194" s="60">
        <f t="shared" si="29"/>
        <v>0</v>
      </c>
      <c r="H194" s="60">
        <f t="shared" si="29"/>
        <v>1898323.56</v>
      </c>
      <c r="I194" s="60">
        <f t="shared" si="30"/>
        <v>1898323.56</v>
      </c>
      <c r="J194" s="167" t="s">
        <v>686</v>
      </c>
    </row>
    <row r="195" spans="1:12" x14ac:dyDescent="0.3">
      <c r="A195" s="109" t="s">
        <v>212</v>
      </c>
      <c r="B195" s="60">
        <f>IF(ISNA(VLOOKUP($J195,FM!$A:$J,3,FALSE)),0,VLOOKUP($J195,FM!$A:$J,3,FALSE))</f>
        <v>0</v>
      </c>
      <c r="C195" s="60">
        <f>IF(ISNA(VLOOKUP($J195,FM!$A:$J,4,FALSE)),0,VLOOKUP($J195,FM!$A:$J,4,FALSE))</f>
        <v>3403918.3</v>
      </c>
      <c r="D195" s="60">
        <f>IF(ISNA(VLOOKUP($J195,FM!$A:$J,5,FALSE)),0,VLOOKUP($J195,FM!$A:$J,5,FALSE))</f>
        <v>0</v>
      </c>
      <c r="E195" s="60">
        <f>IF(ISNA(VLOOKUP($J195,FM!$A:$J,6,FALSE)),0,VLOOKUP($J195,FM!$A:$J,6,FALSE))</f>
        <v>0</v>
      </c>
      <c r="F195" s="60">
        <f>IF(ISNA(VLOOKUP($J195,FM!$A:$J,7,FALSE)),0,VLOOKUP($J195,FM!$A:$J,7,FALSE))</f>
        <v>0</v>
      </c>
      <c r="G195" s="60">
        <f t="shared" si="29"/>
        <v>0</v>
      </c>
      <c r="H195" s="60">
        <f t="shared" si="29"/>
        <v>3403918.3</v>
      </c>
      <c r="I195" s="60">
        <f t="shared" si="30"/>
        <v>3403918.3</v>
      </c>
      <c r="J195" s="167" t="s">
        <v>688</v>
      </c>
    </row>
    <row r="196" spans="1:12" x14ac:dyDescent="0.3">
      <c r="A196" s="109" t="s">
        <v>213</v>
      </c>
      <c r="B196" s="60">
        <f>IF(ISNA(VLOOKUP($J196,FM!$A:$J,3,FALSE)),0,VLOOKUP($J196,FM!$A:$J,3,FALSE))</f>
        <v>0</v>
      </c>
      <c r="C196" s="60">
        <f>IF(ISNA(VLOOKUP($J196,FM!$A:$J,4,FALSE)),0,VLOOKUP($J196,FM!$A:$J,4,FALSE))</f>
        <v>14137698.789999999</v>
      </c>
      <c r="D196" s="60">
        <f>IF(ISNA(VLOOKUP($J196,FM!$A:$J,5,FALSE)),0,VLOOKUP($J196,FM!$A:$J,5,FALSE))</f>
        <v>0</v>
      </c>
      <c r="E196" s="60">
        <f>IF(ISNA(VLOOKUP($J196,FM!$A:$J,6,FALSE)),0,VLOOKUP($J196,FM!$A:$J,6,FALSE))</f>
        <v>0</v>
      </c>
      <c r="F196" s="60">
        <f>IF(ISNA(VLOOKUP($J196,FM!$A:$J,7,FALSE)),0,VLOOKUP($J196,FM!$A:$J,7,FALSE))</f>
        <v>0</v>
      </c>
      <c r="G196" s="60">
        <f t="shared" si="29"/>
        <v>0</v>
      </c>
      <c r="H196" s="60">
        <f t="shared" si="29"/>
        <v>14137698.789999999</v>
      </c>
      <c r="I196" s="60">
        <f t="shared" si="30"/>
        <v>14137698.789999999</v>
      </c>
      <c r="J196" s="167" t="s">
        <v>689</v>
      </c>
    </row>
    <row r="197" spans="1:12" x14ac:dyDescent="0.3">
      <c r="A197" s="109" t="s">
        <v>214</v>
      </c>
      <c r="B197" s="60">
        <f>IF(ISNA(VLOOKUP($J197,FM!$A:$J,3,FALSE)),0,VLOOKUP($J197,FM!$A:$J,3,FALSE))</f>
        <v>0</v>
      </c>
      <c r="C197" s="60">
        <f>IF(ISNA(VLOOKUP($J197,FM!$A:$J,4,FALSE)),0,VLOOKUP($J197,FM!$A:$J,4,FALSE))</f>
        <v>283240.28000000003</v>
      </c>
      <c r="D197" s="60">
        <f>IF(ISNA(VLOOKUP($J197,FM!$A:$J,5,FALSE)),0,VLOOKUP($J197,FM!$A:$J,5,FALSE))</f>
        <v>0</v>
      </c>
      <c r="E197" s="60">
        <f>IF(ISNA(VLOOKUP($J197,FM!$A:$J,6,FALSE)),0,VLOOKUP($J197,FM!$A:$J,6,FALSE))</f>
        <v>0</v>
      </c>
      <c r="F197" s="60">
        <f>IF(ISNA(VLOOKUP($J197,FM!$A:$J,7,FALSE)),0,VLOOKUP($J197,FM!$A:$J,7,FALSE))</f>
        <v>0</v>
      </c>
      <c r="G197" s="60">
        <f t="shared" si="29"/>
        <v>0</v>
      </c>
      <c r="H197" s="60">
        <f t="shared" si="29"/>
        <v>283240.28000000003</v>
      </c>
      <c r="I197" s="60">
        <f t="shared" si="30"/>
        <v>283240.28000000003</v>
      </c>
      <c r="J197" s="167" t="s">
        <v>691</v>
      </c>
    </row>
    <row r="198" spans="1:12" x14ac:dyDescent="0.3">
      <c r="A198" s="109" t="s">
        <v>215</v>
      </c>
      <c r="B198" s="60">
        <f>IF(ISNA(VLOOKUP($J198,FM!$A:$J,3,FALSE)),0,VLOOKUP($J198,FM!$A:$J,3,FALSE))</f>
        <v>0</v>
      </c>
      <c r="C198" s="60">
        <f>IF(ISNA(VLOOKUP($J198,FM!$A:$J,4,FALSE)),0,VLOOKUP($J198,FM!$A:$J,4,FALSE))</f>
        <v>95325.87</v>
      </c>
      <c r="D198" s="60">
        <f>IF(ISNA(VLOOKUP($J198,FM!$A:$J,5,FALSE)),0,VLOOKUP($J198,FM!$A:$J,5,FALSE))</f>
        <v>0</v>
      </c>
      <c r="E198" s="60">
        <f>IF(ISNA(VLOOKUP($J198,FM!$A:$J,6,FALSE)),0,VLOOKUP($J198,FM!$A:$J,6,FALSE))</f>
        <v>0</v>
      </c>
      <c r="F198" s="60">
        <f>IF(ISNA(VLOOKUP($J198,FM!$A:$J,7,FALSE)),0,VLOOKUP($J198,FM!$A:$J,7,FALSE))</f>
        <v>0</v>
      </c>
      <c r="G198" s="60">
        <f t="shared" si="29"/>
        <v>0</v>
      </c>
      <c r="H198" s="60">
        <f t="shared" si="29"/>
        <v>95325.87</v>
      </c>
      <c r="I198" s="60">
        <f t="shared" si="30"/>
        <v>95325.87</v>
      </c>
      <c r="J198" s="167" t="s">
        <v>692</v>
      </c>
    </row>
    <row r="199" spans="1:12" x14ac:dyDescent="0.3">
      <c r="A199" s="109" t="s">
        <v>216</v>
      </c>
      <c r="B199" s="60">
        <f>IF(ISNA(VLOOKUP($J199,FM!$A:$J,3,FALSE)),0,VLOOKUP($J199,FM!$A:$J,3,FALSE))</f>
        <v>0</v>
      </c>
      <c r="C199" s="60">
        <f>IF(ISNA(VLOOKUP($J199,FM!$A:$J,4,FALSE)),0,VLOOKUP($J199,FM!$A:$J,4,FALSE))</f>
        <v>140997.79999999999</v>
      </c>
      <c r="D199" s="60">
        <f>IF(ISNA(VLOOKUP($J199,FM!$A:$J,5,FALSE)),0,VLOOKUP($J199,FM!$A:$J,5,FALSE))</f>
        <v>0</v>
      </c>
      <c r="E199" s="60">
        <f>IF(ISNA(VLOOKUP($J199,FM!$A:$J,6,FALSE)),0,VLOOKUP($J199,FM!$A:$J,6,FALSE))</f>
        <v>0</v>
      </c>
      <c r="F199" s="60">
        <f>IF(ISNA(VLOOKUP($J199,FM!$A:$J,7,FALSE)),0,VLOOKUP($J199,FM!$A:$J,7,FALSE))</f>
        <v>0</v>
      </c>
      <c r="G199" s="60">
        <f t="shared" si="29"/>
        <v>0</v>
      </c>
      <c r="H199" s="60">
        <f t="shared" si="29"/>
        <v>140997.79999999999</v>
      </c>
      <c r="I199" s="60">
        <f t="shared" si="30"/>
        <v>140997.79999999999</v>
      </c>
      <c r="J199" s="167" t="s">
        <v>693</v>
      </c>
    </row>
    <row r="200" spans="1:12" x14ac:dyDescent="0.3">
      <c r="A200" s="109" t="s">
        <v>217</v>
      </c>
      <c r="B200" s="60">
        <f>IF(ISNA(VLOOKUP($J200,FM!$A:$J,3,FALSE)),0,VLOOKUP($J200,FM!$A:$J,3,FALSE))</f>
        <v>0</v>
      </c>
      <c r="C200" s="60">
        <f>IF(ISNA(VLOOKUP($J200,FM!$A:$J,4,FALSE)),0,VLOOKUP($J200,FM!$A:$J,4,FALSE))</f>
        <v>8518327.6699999999</v>
      </c>
      <c r="D200" s="60">
        <f>IF(ISNA(VLOOKUP($J200,FM!$A:$J,5,FALSE)),0,VLOOKUP($J200,FM!$A:$J,5,FALSE))</f>
        <v>0</v>
      </c>
      <c r="E200" s="60">
        <f>IF(ISNA(VLOOKUP($J200,FM!$A:$J,6,FALSE)),0,VLOOKUP($J200,FM!$A:$J,6,FALSE))</f>
        <v>0</v>
      </c>
      <c r="F200" s="60">
        <f>IF(ISNA(VLOOKUP($J200,FM!$A:$J,7,FALSE)),0,VLOOKUP($J200,FM!$A:$J,7,FALSE))</f>
        <v>0</v>
      </c>
      <c r="G200" s="60">
        <f t="shared" si="29"/>
        <v>0</v>
      </c>
      <c r="H200" s="60">
        <f t="shared" si="29"/>
        <v>8518327.6699999999</v>
      </c>
      <c r="I200" s="60">
        <f t="shared" si="30"/>
        <v>8518327.6699999999</v>
      </c>
      <c r="J200" s="167" t="s">
        <v>695</v>
      </c>
    </row>
    <row r="201" spans="1:12" x14ac:dyDescent="0.3">
      <c r="A201" s="109" t="s">
        <v>218</v>
      </c>
      <c r="B201" s="60">
        <f>IF(ISNA(VLOOKUP($J201,FM!$A:$J,3,FALSE)),0,VLOOKUP($J201,FM!$A:$J,3,FALSE))</f>
        <v>0</v>
      </c>
      <c r="C201" s="60">
        <f>IF(ISNA(VLOOKUP($J201,FM!$A:$J,4,FALSE)),0,VLOOKUP($J201,FM!$A:$J,4,FALSE))</f>
        <v>827228.25</v>
      </c>
      <c r="D201" s="60">
        <f>IF(ISNA(VLOOKUP($J201,FM!$A:$J,5,FALSE)),0,VLOOKUP($J201,FM!$A:$J,5,FALSE))</f>
        <v>0</v>
      </c>
      <c r="E201" s="60">
        <f>IF(ISNA(VLOOKUP($J201,FM!$A:$J,6,FALSE)),0,VLOOKUP($J201,FM!$A:$J,6,FALSE))</f>
        <v>0</v>
      </c>
      <c r="F201" s="60">
        <f>IF(ISNA(VLOOKUP($J201,FM!$A:$J,7,FALSE)),0,VLOOKUP($J201,FM!$A:$J,7,FALSE))</f>
        <v>0</v>
      </c>
      <c r="G201" s="60">
        <f t="shared" si="29"/>
        <v>0</v>
      </c>
      <c r="H201" s="60">
        <f t="shared" si="29"/>
        <v>827228.25</v>
      </c>
      <c r="I201" s="60">
        <f t="shared" si="30"/>
        <v>827228.25</v>
      </c>
      <c r="J201" s="167" t="s">
        <v>697</v>
      </c>
    </row>
    <row r="202" spans="1:12" x14ac:dyDescent="0.3">
      <c r="A202" s="109" t="s">
        <v>219</v>
      </c>
      <c r="B202" s="60">
        <f>IF(ISNA(VLOOKUP($J202,FM!$A:$J,3,FALSE)),0,VLOOKUP($J202,FM!$A:$J,3,FALSE))</f>
        <v>0</v>
      </c>
      <c r="C202" s="60">
        <f>IF(ISNA(VLOOKUP($J202,FM!$A:$J,4,FALSE)),0,VLOOKUP($J202,FM!$A:$J,4,FALSE))</f>
        <v>237639.64</v>
      </c>
      <c r="D202" s="60">
        <f>IF(ISNA(VLOOKUP($J202,FM!$A:$J,5,FALSE)),0,VLOOKUP($J202,FM!$A:$J,5,FALSE))</f>
        <v>0</v>
      </c>
      <c r="E202" s="60">
        <f>IF(ISNA(VLOOKUP($J202,FM!$A:$J,6,FALSE)),0,VLOOKUP($J202,FM!$A:$J,6,FALSE))</f>
        <v>0</v>
      </c>
      <c r="F202" s="60">
        <f>IF(ISNA(VLOOKUP($J202,FM!$A:$J,7,FALSE)),0,VLOOKUP($J202,FM!$A:$J,7,FALSE))</f>
        <v>0</v>
      </c>
      <c r="G202" s="60">
        <f t="shared" si="29"/>
        <v>0</v>
      </c>
      <c r="H202" s="60">
        <f t="shared" si="29"/>
        <v>237639.64</v>
      </c>
      <c r="I202" s="60">
        <f t="shared" si="30"/>
        <v>237639.64</v>
      </c>
      <c r="J202" s="167" t="s">
        <v>699</v>
      </c>
    </row>
    <row r="203" spans="1:12" x14ac:dyDescent="0.3">
      <c r="A203" s="109" t="s">
        <v>220</v>
      </c>
      <c r="B203" s="60">
        <f>IF(ISNA(VLOOKUP($J203,FM!$A:$J,3,FALSE)),0,VLOOKUP($J203,FM!$A:$J,3,FALSE))</f>
        <v>0</v>
      </c>
      <c r="C203" s="60">
        <f>IF(ISNA(VLOOKUP($J203,FM!$A:$J,4,FALSE)),0,VLOOKUP($J203,FM!$A:$J,4,FALSE))</f>
        <v>4226767.2</v>
      </c>
      <c r="D203" s="60">
        <f>IF(ISNA(VLOOKUP($J203,FM!$A:$J,5,FALSE)),0,VLOOKUP($J203,FM!$A:$J,5,FALSE))</f>
        <v>0</v>
      </c>
      <c r="E203" s="60">
        <f>IF(ISNA(VLOOKUP($J203,FM!$A:$J,6,FALSE)),0,VLOOKUP($J203,FM!$A:$J,6,FALSE))</f>
        <v>0</v>
      </c>
      <c r="F203" s="60">
        <f>IF(ISNA(VLOOKUP($J203,FM!$A:$J,7,FALSE)),0,VLOOKUP($J203,FM!$A:$J,7,FALSE))</f>
        <v>0</v>
      </c>
      <c r="G203" s="60">
        <f t="shared" si="29"/>
        <v>0</v>
      </c>
      <c r="H203" s="60">
        <f t="shared" si="29"/>
        <v>4226767.2</v>
      </c>
      <c r="I203" s="60">
        <f t="shared" si="30"/>
        <v>4226767.2</v>
      </c>
      <c r="J203" s="167" t="s">
        <v>701</v>
      </c>
    </row>
    <row r="204" spans="1:12" x14ac:dyDescent="0.3">
      <c r="A204" s="109" t="s">
        <v>221</v>
      </c>
      <c r="B204" s="60">
        <f>IF(ISNA(VLOOKUP($J204,FM!$A:$J,3,FALSE)),0,VLOOKUP($J204,FM!$A:$J,3,FALSE))</f>
        <v>0</v>
      </c>
      <c r="C204" s="60">
        <f>IF(ISNA(VLOOKUP($J204,FM!$A:$J,4,FALSE)),0,VLOOKUP($J204,FM!$A:$J,4,FALSE))</f>
        <v>617959.21</v>
      </c>
      <c r="D204" s="60">
        <f>IF(ISNA(VLOOKUP($J204,FM!$A:$J,5,FALSE)),0,VLOOKUP($J204,FM!$A:$J,5,FALSE))</f>
        <v>0</v>
      </c>
      <c r="E204" s="60">
        <f>IF(ISNA(VLOOKUP($J204,FM!$A:$J,6,FALSE)),0,VLOOKUP($J204,FM!$A:$J,6,FALSE))</f>
        <v>0</v>
      </c>
      <c r="F204" s="60">
        <f>IF(ISNA(VLOOKUP($J204,FM!$A:$J,7,FALSE)),0,VLOOKUP($J204,FM!$A:$J,7,FALSE))</f>
        <v>0</v>
      </c>
      <c r="G204" s="60">
        <f t="shared" si="29"/>
        <v>0</v>
      </c>
      <c r="H204" s="60">
        <f t="shared" si="29"/>
        <v>617959.21</v>
      </c>
      <c r="I204" s="60">
        <f t="shared" si="30"/>
        <v>617959.21</v>
      </c>
      <c r="J204" s="167" t="s">
        <v>703</v>
      </c>
    </row>
    <row r="205" spans="1:12" x14ac:dyDescent="0.3">
      <c r="A205" s="109" t="s">
        <v>222</v>
      </c>
      <c r="B205" s="163">
        <f>IF(ISNA(VLOOKUP($J205,FM!$A:$J,3,FALSE)),0,VLOOKUP($J205,FM!$A:$J,3,FALSE))</f>
        <v>0</v>
      </c>
      <c r="C205" s="163">
        <f>IF(ISNA(VLOOKUP($J205,FM!$A:$J,4,FALSE)),0,VLOOKUP($J205,FM!$A:$J,4,FALSE))</f>
        <v>732053.34</v>
      </c>
      <c r="D205" s="163">
        <f>IF(ISNA(VLOOKUP($J205,FM!$A:$J,5,FALSE)),0,VLOOKUP($J205,FM!$A:$J,5,FALSE))</f>
        <v>0</v>
      </c>
      <c r="E205" s="163">
        <f>IF(ISNA(VLOOKUP($J205,FM!$A:$J,6,FALSE)),0,VLOOKUP($J205,FM!$A:$J,6,FALSE))</f>
        <v>0</v>
      </c>
      <c r="F205" s="163">
        <f>IF(ISNA(VLOOKUP($J205,FM!$A:$J,7,FALSE)),0,VLOOKUP($J205,FM!$A:$J,7,FALSE))</f>
        <v>0</v>
      </c>
      <c r="G205" s="163">
        <f t="shared" si="29"/>
        <v>0</v>
      </c>
      <c r="H205" s="163">
        <f t="shared" si="29"/>
        <v>732053.34</v>
      </c>
      <c r="I205" s="163">
        <f t="shared" si="30"/>
        <v>732053.34</v>
      </c>
      <c r="J205" s="167" t="s">
        <v>705</v>
      </c>
    </row>
    <row r="206" spans="1:12" x14ac:dyDescent="0.3">
      <c r="A206" s="109" t="s">
        <v>223</v>
      </c>
      <c r="B206" s="60">
        <f>SUM(B170:B205)</f>
        <v>80879041.140000001</v>
      </c>
      <c r="C206" s="60">
        <f t="shared" ref="C206:I206" si="31">SUM(C170:C205)</f>
        <v>56478736.410000011</v>
      </c>
      <c r="D206" s="60">
        <f t="shared" si="31"/>
        <v>0</v>
      </c>
      <c r="E206" s="60">
        <f t="shared" si="31"/>
        <v>0</v>
      </c>
      <c r="F206" s="60">
        <f t="shared" si="31"/>
        <v>0</v>
      </c>
      <c r="G206" s="60">
        <f t="shared" si="31"/>
        <v>80879041.140000001</v>
      </c>
      <c r="H206" s="60">
        <f t="shared" si="31"/>
        <v>56478736.410000011</v>
      </c>
      <c r="I206" s="60">
        <f t="shared" si="31"/>
        <v>137357777.55000001</v>
      </c>
      <c r="J206" s="164" t="s">
        <v>642</v>
      </c>
    </row>
    <row r="207" spans="1:12" x14ac:dyDescent="0.3">
      <c r="A207" s="59" t="s">
        <v>224</v>
      </c>
      <c r="B207" s="60"/>
      <c r="C207" s="60"/>
      <c r="D207" s="60"/>
      <c r="E207" s="60"/>
      <c r="F207" s="60"/>
      <c r="G207" s="60"/>
      <c r="H207" s="60"/>
      <c r="I207" s="60"/>
      <c r="J207" s="109"/>
    </row>
    <row r="208" spans="1:12" x14ac:dyDescent="0.3">
      <c r="A208" s="109" t="s">
        <v>225</v>
      </c>
      <c r="B208" s="60">
        <f>IF(ISNA(VLOOKUP($J208,FM!$A:$J,3,FALSE)),0,VLOOKUP($J208,FM!$A:$J,3,FALSE))</f>
        <v>0</v>
      </c>
      <c r="C208" s="60">
        <f>IF(ISNA(VLOOKUP($J208,FM!$A:$J,4,FALSE)),0,VLOOKUP($J208,FM!$A:$J,4,FALSE))</f>
        <v>0</v>
      </c>
      <c r="D208" s="60">
        <f>IF(ISNA(VLOOKUP($J208,FM!$A:$J,5,FALSE)),0,VLOOKUP($J208,FM!$A:$J,5,FALSE))</f>
        <v>222560.93</v>
      </c>
      <c r="E208" s="60">
        <f>ROUND($D208*K208,2)</f>
        <v>129263.39</v>
      </c>
      <c r="F208" s="60">
        <f>ROUND($D208*L208,2)</f>
        <v>93297.54</v>
      </c>
      <c r="G208" s="60">
        <f>B208+E208</f>
        <v>129263.39</v>
      </c>
      <c r="H208" s="60">
        <f t="shared" ref="H208:H212" si="32">C208+F208</f>
        <v>93297.54</v>
      </c>
      <c r="I208" s="60">
        <f t="shared" ref="I208:I211" si="33">SUM(G208:H208)</f>
        <v>222560.93</v>
      </c>
      <c r="J208" s="167" t="s">
        <v>709</v>
      </c>
      <c r="K208" s="171">
        <f>+'Allocators (CBR)'!F9</f>
        <v>0.58079999999999998</v>
      </c>
      <c r="L208" s="171">
        <f>+'Allocators (CBR)'!G9</f>
        <v>0.41920000000000002</v>
      </c>
    </row>
    <row r="209" spans="1:12" x14ac:dyDescent="0.3">
      <c r="A209" s="109" t="s">
        <v>226</v>
      </c>
      <c r="B209" s="60">
        <f>IFERROR(SUMIF(FM!$A:$A,'Unallocated Detail (CBR)'!$J209,FM!C:C),0)</f>
        <v>10871077.82</v>
      </c>
      <c r="C209" s="60">
        <f>IFERROR(SUMIF(FM!$A:$A,'Unallocated Detail (CBR)'!$J209,FM!D:D),0)</f>
        <v>8047872.71</v>
      </c>
      <c r="D209" s="60">
        <f>IFERROR(SUMIF(FM!$A:$A,'Unallocated Detail (CBR)'!$J209,FM!E:E),0)</f>
        <v>2297615.7999999998</v>
      </c>
      <c r="E209" s="60">
        <f t="shared" ref="E209:E212" si="34">ROUND($D209*K209,2)</f>
        <v>1438307.49</v>
      </c>
      <c r="F209" s="60">
        <f t="shared" ref="F209:F212" si="35">ROUND($D209*L209,2)</f>
        <v>859308.31</v>
      </c>
      <c r="G209" s="60">
        <f t="shared" ref="G209:G212" si="36">B209+E209</f>
        <v>12309385.310000001</v>
      </c>
      <c r="H209" s="60">
        <f t="shared" si="32"/>
        <v>8907181.0199999996</v>
      </c>
      <c r="I209" s="60">
        <f t="shared" si="33"/>
        <v>21216566.329999998</v>
      </c>
      <c r="J209" s="167" t="s">
        <v>924</v>
      </c>
      <c r="K209" s="171">
        <f>+'Allocators (CBR)'!F10</f>
        <v>0.626</v>
      </c>
      <c r="L209" s="171">
        <f>+'Allocators (CBR)'!G10</f>
        <v>0.374</v>
      </c>
    </row>
    <row r="210" spans="1:12" x14ac:dyDescent="0.3">
      <c r="A210" s="109" t="s">
        <v>227</v>
      </c>
      <c r="B210" s="60">
        <f>IFERROR(SUMIF(FM!$A:$A,'Unallocated Detail (CBR)'!$J210,FM!C:C),0)</f>
        <v>2620868.89</v>
      </c>
      <c r="C210" s="60">
        <f>IFERROR(SUMIF(FM!$A:$A,'Unallocated Detail (CBR)'!$J210,FM!D:D),0)</f>
        <v>1551648.6600000001</v>
      </c>
      <c r="D210" s="60">
        <f>IFERROR(SUMIF(FM!$A:$A,'Unallocated Detail (CBR)'!$J210,FM!E:E),0)</f>
        <v>36103834.670000002</v>
      </c>
      <c r="E210" s="60">
        <f t="shared" si="34"/>
        <v>20969107.18</v>
      </c>
      <c r="F210" s="60">
        <f t="shared" si="35"/>
        <v>15134727.49</v>
      </c>
      <c r="G210" s="60">
        <f t="shared" si="36"/>
        <v>23589976.07</v>
      </c>
      <c r="H210" s="60">
        <f t="shared" si="32"/>
        <v>16686376.15</v>
      </c>
      <c r="I210" s="60">
        <f t="shared" si="33"/>
        <v>40276352.219999999</v>
      </c>
      <c r="J210" s="167" t="s">
        <v>925</v>
      </c>
      <c r="K210" s="171">
        <f>+'Allocators (CBR)'!F11</f>
        <v>0.58079999999999998</v>
      </c>
      <c r="L210" s="171">
        <f>+'Allocators (CBR)'!G11</f>
        <v>0.41920000000000002</v>
      </c>
    </row>
    <row r="211" spans="1:12" x14ac:dyDescent="0.3">
      <c r="A211" s="109" t="s">
        <v>228</v>
      </c>
      <c r="B211" s="60">
        <f>IF(ISNA(VLOOKUP($J211,FM!$A:$J,3,FALSE)),0,VLOOKUP($J211,FM!$A:$J,3,FALSE))</f>
        <v>14538707.16</v>
      </c>
      <c r="C211" s="60">
        <f>IF(ISNA(VLOOKUP($J211,FM!$A:$J,4,FALSE)),0,VLOOKUP($J211,FM!$A:$J,4,FALSE))</f>
        <v>3241254.56</v>
      </c>
      <c r="D211" s="60">
        <f>IF(ISNA(VLOOKUP($J211,FM!$A:$J,5,FALSE)),0,VLOOKUP($J211,FM!$A:$J,5,FALSE))</f>
        <v>84917.5</v>
      </c>
      <c r="E211" s="60">
        <f t="shared" si="34"/>
        <v>56342.76</v>
      </c>
      <c r="F211" s="60">
        <f t="shared" si="35"/>
        <v>28574.74</v>
      </c>
      <c r="G211" s="60">
        <f t="shared" si="36"/>
        <v>14595049.92</v>
      </c>
      <c r="H211" s="60">
        <f t="shared" si="32"/>
        <v>3269829.3000000003</v>
      </c>
      <c r="I211" s="60">
        <f t="shared" si="33"/>
        <v>17864879.219999999</v>
      </c>
      <c r="J211" s="167" t="s">
        <v>717</v>
      </c>
      <c r="K211" s="171">
        <f>+'Allocators (CBR)'!F12</f>
        <v>0.66349999999999998</v>
      </c>
      <c r="L211" s="171">
        <f>+'Allocators (CBR)'!G12</f>
        <v>0.33650000000000002</v>
      </c>
    </row>
    <row r="212" spans="1:12" x14ac:dyDescent="0.3">
      <c r="A212" s="109" t="s">
        <v>229</v>
      </c>
      <c r="B212" s="163">
        <f>IF(ISNA(VLOOKUP($J212,FM!$A:$J,3,FALSE)),0,VLOOKUP($J212,FM!$A:$J,3,FALSE))</f>
        <v>0</v>
      </c>
      <c r="C212" s="163">
        <f>IF(ISNA(VLOOKUP($J212,FM!$A:$J,4,FALSE)),0,VLOOKUP($J212,FM!$A:$J,4,FALSE))</f>
        <v>0</v>
      </c>
      <c r="D212" s="163">
        <f>IF(ISNA(VLOOKUP($J212,FM!$A:$J,5,FALSE)),0,VLOOKUP($J212,FM!$A:$J,5,FALSE))</f>
        <v>0</v>
      </c>
      <c r="E212" s="163">
        <f t="shared" si="34"/>
        <v>0</v>
      </c>
      <c r="F212" s="163">
        <f t="shared" si="35"/>
        <v>0</v>
      </c>
      <c r="G212" s="163">
        <f t="shared" si="36"/>
        <v>0</v>
      </c>
      <c r="H212" s="163">
        <f t="shared" si="32"/>
        <v>0</v>
      </c>
      <c r="I212" s="163">
        <f>SUM(G212:H212)</f>
        <v>0</v>
      </c>
      <c r="J212" s="167" t="s">
        <v>892</v>
      </c>
    </row>
    <row r="213" spans="1:12" x14ac:dyDescent="0.3">
      <c r="A213" s="109" t="s">
        <v>230</v>
      </c>
      <c r="B213" s="60">
        <f>SUM(B208:B212)</f>
        <v>28030653.870000001</v>
      </c>
      <c r="C213" s="60">
        <f t="shared" ref="C213:I213" si="37">SUM(C208:C212)</f>
        <v>12840775.930000002</v>
      </c>
      <c r="D213" s="60">
        <f t="shared" si="37"/>
        <v>38708928.899999999</v>
      </c>
      <c r="E213" s="60">
        <f t="shared" si="37"/>
        <v>22593020.82</v>
      </c>
      <c r="F213" s="60">
        <f t="shared" si="37"/>
        <v>16115908.08</v>
      </c>
      <c r="G213" s="60">
        <f t="shared" si="37"/>
        <v>50623674.690000005</v>
      </c>
      <c r="H213" s="60">
        <f t="shared" si="37"/>
        <v>28956684.010000002</v>
      </c>
      <c r="I213" s="60">
        <f t="shared" si="37"/>
        <v>79580358.699999988</v>
      </c>
      <c r="J213" s="164" t="s">
        <v>707</v>
      </c>
    </row>
    <row r="214" spans="1:12" x14ac:dyDescent="0.3">
      <c r="A214" s="59" t="s">
        <v>231</v>
      </c>
      <c r="B214" s="60"/>
      <c r="C214" s="60"/>
      <c r="D214" s="60"/>
      <c r="E214" s="60"/>
      <c r="F214" s="60"/>
      <c r="G214" s="60"/>
      <c r="H214" s="60"/>
      <c r="I214" s="60"/>
      <c r="J214" s="109"/>
    </row>
    <row r="215" spans="1:12" x14ac:dyDescent="0.3">
      <c r="A215" s="109" t="s">
        <v>232</v>
      </c>
      <c r="B215" s="60">
        <f>IF(ISNA(VLOOKUP($J215,FM!$A:$J,3,FALSE)),0,VLOOKUP($J215,FM!$A:$J,3,FALSE))</f>
        <v>18312431.550000001</v>
      </c>
      <c r="C215" s="60">
        <f>IF(ISNA(VLOOKUP($J215,FM!$A:$J,4,FALSE)),0,VLOOKUP($J215,FM!$A:$J,4,FALSE))</f>
        <v>4631508.91</v>
      </c>
      <c r="D215" s="60">
        <f>IF(ISNA(VLOOKUP($J215,FM!$A:$J,5,FALSE)),0,VLOOKUP($J215,FM!$A:$J,5,FALSE))</f>
        <v>1169189.42</v>
      </c>
      <c r="E215" s="60">
        <f t="shared" ref="E215:E221" si="38">ROUND($D215*K215,2)</f>
        <v>679065.22</v>
      </c>
      <c r="F215" s="60">
        <f t="shared" ref="F215:F221" si="39">ROUND($D215*L215,2)</f>
        <v>490124.2</v>
      </c>
      <c r="G215" s="60">
        <f t="shared" ref="G215:H221" si="40">B215+E215</f>
        <v>18991496.77</v>
      </c>
      <c r="H215" s="60">
        <f t="shared" si="40"/>
        <v>5121633.1100000003</v>
      </c>
      <c r="I215" s="60">
        <f t="shared" ref="I215:I221" si="41">SUM(G215:H215)</f>
        <v>24113129.879999999</v>
      </c>
      <c r="J215" s="167" t="s">
        <v>721</v>
      </c>
      <c r="K215" s="171">
        <f>+'Allocators (CBR)'!F16</f>
        <v>0.58079999999999998</v>
      </c>
      <c r="L215" s="171">
        <f>+'Allocators (CBR)'!G16</f>
        <v>0.41920000000000002</v>
      </c>
    </row>
    <row r="216" spans="1:12" x14ac:dyDescent="0.3">
      <c r="A216" s="109" t="s">
        <v>233</v>
      </c>
      <c r="B216" s="60">
        <f>IF(ISNA(VLOOKUP($J216,FM!$A:$J,3,FALSE)),0,VLOOKUP($J216,FM!$A:$J,3,FALSE))</f>
        <v>1186368.21</v>
      </c>
      <c r="C216" s="60">
        <f>IF(ISNA(VLOOKUP($J216,FM!$A:$J,4,FALSE)),0,VLOOKUP($J216,FM!$A:$J,4,FALSE))</f>
        <v>334908.02</v>
      </c>
      <c r="D216" s="60">
        <f>IF(ISNA(VLOOKUP($J216,FM!$A:$J,5,FALSE)),0,VLOOKUP($J216,FM!$A:$J,5,FALSE))</f>
        <v>2303835.4300000002</v>
      </c>
      <c r="E216" s="60">
        <f t="shared" si="38"/>
        <v>1338067.6200000001</v>
      </c>
      <c r="F216" s="60">
        <f t="shared" si="39"/>
        <v>965767.81</v>
      </c>
      <c r="G216" s="60">
        <f t="shared" si="40"/>
        <v>2524435.83</v>
      </c>
      <c r="H216" s="60">
        <f t="shared" si="40"/>
        <v>1300675.83</v>
      </c>
      <c r="I216" s="60">
        <f t="shared" si="41"/>
        <v>3825111.66</v>
      </c>
      <c r="J216" s="167" t="s">
        <v>723</v>
      </c>
      <c r="K216" s="171">
        <f>+'Allocators (CBR)'!F17</f>
        <v>0.58079999999999998</v>
      </c>
      <c r="L216" s="171">
        <f>+'Allocators (CBR)'!G17</f>
        <v>0.41920000000000002</v>
      </c>
    </row>
    <row r="217" spans="1:12" x14ac:dyDescent="0.3">
      <c r="A217" s="109" t="s">
        <v>234</v>
      </c>
      <c r="B217" s="60">
        <f>IF(ISNA(VLOOKUP($J217,FM!$A:$J,3,FALSE)),0,VLOOKUP($J217,FM!$A:$J,3,FALSE))</f>
        <v>0</v>
      </c>
      <c r="C217" s="60">
        <f>IF(ISNA(VLOOKUP($J217,FM!$A:$J,4,FALSE)),0,VLOOKUP($J217,FM!$A:$J,4,FALSE))</f>
        <v>0</v>
      </c>
      <c r="D217" s="60">
        <f>IF(ISNA(VLOOKUP($J217,FM!$A:$J,5,FALSE)),0,VLOOKUP($J217,FM!$A:$J,5,FALSE))</f>
        <v>346.92</v>
      </c>
      <c r="E217" s="60">
        <f t="shared" si="38"/>
        <v>201.49</v>
      </c>
      <c r="F217" s="60">
        <f t="shared" si="39"/>
        <v>145.43</v>
      </c>
      <c r="G217" s="60">
        <f t="shared" si="40"/>
        <v>201.49</v>
      </c>
      <c r="H217" s="60">
        <f t="shared" si="40"/>
        <v>145.43</v>
      </c>
      <c r="I217" s="60">
        <f t="shared" si="41"/>
        <v>346.92</v>
      </c>
      <c r="J217" s="167" t="s">
        <v>725</v>
      </c>
      <c r="K217" s="171">
        <f>+'Allocators (CBR)'!F18</f>
        <v>0.58079999999999998</v>
      </c>
      <c r="L217" s="171">
        <f>+'Allocators (CBR)'!G18</f>
        <v>0.41920000000000002</v>
      </c>
    </row>
    <row r="218" spans="1:12" x14ac:dyDescent="0.3">
      <c r="A218" s="109" t="s">
        <v>235</v>
      </c>
      <c r="B218" s="60">
        <f>IF(ISNA(VLOOKUP($J218,FM!$A:$J,3,FALSE)),0,VLOOKUP($J218,FM!$A:$J,3,FALSE))</f>
        <v>0</v>
      </c>
      <c r="C218" s="60">
        <f>IF(ISNA(VLOOKUP($J218,FM!$A:$J,4,FALSE)),0,VLOOKUP($J218,FM!$A:$J,4,FALSE))</f>
        <v>0</v>
      </c>
      <c r="D218" s="60">
        <f>IF(ISNA(VLOOKUP($J218,FM!$A:$J,5,FALSE)),0,VLOOKUP($J218,FM!$A:$J,5,FALSE))</f>
        <v>0</v>
      </c>
      <c r="E218" s="60">
        <f t="shared" si="38"/>
        <v>0</v>
      </c>
      <c r="F218" s="60">
        <f t="shared" si="39"/>
        <v>0</v>
      </c>
      <c r="G218" s="60">
        <f t="shared" si="40"/>
        <v>0</v>
      </c>
      <c r="H218" s="60">
        <f t="shared" si="40"/>
        <v>0</v>
      </c>
      <c r="I218" s="60">
        <f t="shared" si="41"/>
        <v>0</v>
      </c>
      <c r="J218" s="167" t="s">
        <v>893</v>
      </c>
      <c r="K218" s="171">
        <f>+'Allocators (CBR)'!F19</f>
        <v>0.58079999999999998</v>
      </c>
      <c r="L218" s="171">
        <f>+'Allocators (CBR)'!G19</f>
        <v>0.41920000000000002</v>
      </c>
    </row>
    <row r="219" spans="1:12" x14ac:dyDescent="0.3">
      <c r="A219" s="109" t="s">
        <v>236</v>
      </c>
      <c r="B219" s="60">
        <f>IF(ISNA(VLOOKUP($J219,FM!$A:$J,3,FALSE)),0,VLOOKUP($J219,FM!$A:$J,3,FALSE))</f>
        <v>738438.33</v>
      </c>
      <c r="C219" s="60">
        <f>IF(ISNA(VLOOKUP($J219,FM!$A:$J,4,FALSE)),0,VLOOKUP($J219,FM!$A:$J,4,FALSE))</f>
        <v>0</v>
      </c>
      <c r="D219" s="60">
        <f>IF(ISNA(VLOOKUP($J219,FM!$A:$J,5,FALSE)),0,VLOOKUP($J219,FM!$A:$J,5,FALSE))</f>
        <v>-152651.15</v>
      </c>
      <c r="E219" s="60">
        <f t="shared" si="38"/>
        <v>-88659.79</v>
      </c>
      <c r="F219" s="60">
        <f t="shared" si="39"/>
        <v>-63991.360000000001</v>
      </c>
      <c r="G219" s="60">
        <f t="shared" si="40"/>
        <v>649778.53999999992</v>
      </c>
      <c r="H219" s="60">
        <f t="shared" si="40"/>
        <v>-63991.360000000001</v>
      </c>
      <c r="I219" s="60">
        <f t="shared" si="41"/>
        <v>585787.17999999993</v>
      </c>
      <c r="J219" s="167" t="s">
        <v>726</v>
      </c>
      <c r="K219" s="171">
        <f>+'Allocators (CBR)'!F20</f>
        <v>0.58079999999999998</v>
      </c>
      <c r="L219" s="171">
        <f>+'Allocators (CBR)'!G20</f>
        <v>0.41920000000000002</v>
      </c>
    </row>
    <row r="220" spans="1:12" x14ac:dyDescent="0.3">
      <c r="A220" s="109" t="s">
        <v>237</v>
      </c>
      <c r="B220" s="60">
        <f>IF(ISNA(VLOOKUP($J220,FM!$A:$J,3,FALSE)),0,VLOOKUP($J220,FM!$A:$J,3,FALSE))</f>
        <v>0</v>
      </c>
      <c r="C220" s="60">
        <f>IF(ISNA(VLOOKUP($J220,FM!$A:$J,4,FALSE)),0,VLOOKUP($J220,FM!$A:$J,4,FALSE))</f>
        <v>0</v>
      </c>
      <c r="D220" s="60">
        <f>IF(ISNA(VLOOKUP($J220,FM!$A:$J,5,FALSE)),0,VLOOKUP($J220,FM!$A:$J,5,FALSE))</f>
        <v>0</v>
      </c>
      <c r="E220" s="60">
        <f t="shared" si="38"/>
        <v>0</v>
      </c>
      <c r="F220" s="60">
        <f t="shared" si="39"/>
        <v>0</v>
      </c>
      <c r="G220" s="60">
        <f t="shared" si="40"/>
        <v>0</v>
      </c>
      <c r="H220" s="60">
        <f t="shared" si="40"/>
        <v>0</v>
      </c>
      <c r="I220" s="60">
        <f t="shared" si="41"/>
        <v>0</v>
      </c>
      <c r="J220" s="167" t="s">
        <v>894</v>
      </c>
      <c r="K220" s="171">
        <f>+'Allocators (CBR)'!F21</f>
        <v>0.58079999999999998</v>
      </c>
      <c r="L220" s="171">
        <f>+'Allocators (CBR)'!G21</f>
        <v>0.41920000000000002</v>
      </c>
    </row>
    <row r="221" spans="1:12" x14ac:dyDescent="0.3">
      <c r="A221" s="109" t="s">
        <v>238</v>
      </c>
      <c r="B221" s="163">
        <f>IF(ISNA(VLOOKUP($J221,FM!$A:$J,3,FALSE)),0,VLOOKUP($J221,FM!$A:$J,3,FALSE))</f>
        <v>0</v>
      </c>
      <c r="C221" s="163">
        <f>IF(ISNA(VLOOKUP($J221,FM!$A:$J,4,FALSE)),0,VLOOKUP($J221,FM!$A:$J,4,FALSE))</f>
        <v>0</v>
      </c>
      <c r="D221" s="163">
        <f>IF(ISNA(VLOOKUP($J221,FM!$A:$J,5,FALSE)),0,VLOOKUP($J221,FM!$A:$J,5,FALSE))</f>
        <v>0</v>
      </c>
      <c r="E221" s="163">
        <f t="shared" si="38"/>
        <v>0</v>
      </c>
      <c r="F221" s="163">
        <f t="shared" si="39"/>
        <v>0</v>
      </c>
      <c r="G221" s="163">
        <f t="shared" si="40"/>
        <v>0</v>
      </c>
      <c r="H221" s="163">
        <f t="shared" si="40"/>
        <v>0</v>
      </c>
      <c r="I221" s="163">
        <f t="shared" si="41"/>
        <v>0</v>
      </c>
      <c r="J221" s="167" t="s">
        <v>895</v>
      </c>
      <c r="K221" s="171">
        <f>+'Allocators (CBR)'!F22</f>
        <v>0.58079999999999998</v>
      </c>
      <c r="L221" s="171">
        <f>+'Allocators (CBR)'!G22</f>
        <v>0.41920000000000002</v>
      </c>
    </row>
    <row r="222" spans="1:12" x14ac:dyDescent="0.3">
      <c r="A222" s="109" t="s">
        <v>239</v>
      </c>
      <c r="B222" s="60">
        <f>SUM(B215:B221)</f>
        <v>20237238.09</v>
      </c>
      <c r="C222" s="60">
        <f t="shared" ref="C222:I222" si="42">SUM(C215:C221)</f>
        <v>4966416.93</v>
      </c>
      <c r="D222" s="60">
        <f t="shared" si="42"/>
        <v>3320720.62</v>
      </c>
      <c r="E222" s="60">
        <f t="shared" si="42"/>
        <v>1928674.54</v>
      </c>
      <c r="F222" s="60">
        <f t="shared" si="42"/>
        <v>1392046.0799999998</v>
      </c>
      <c r="G222" s="60">
        <f t="shared" si="42"/>
        <v>22165912.629999999</v>
      </c>
      <c r="H222" s="60">
        <f t="shared" si="42"/>
        <v>6358463.0099999998</v>
      </c>
      <c r="I222" s="60">
        <f t="shared" si="42"/>
        <v>28524375.640000001</v>
      </c>
      <c r="J222" s="164" t="s">
        <v>719</v>
      </c>
    </row>
    <row r="223" spans="1:12" x14ac:dyDescent="0.3">
      <c r="A223" s="59" t="s">
        <v>240</v>
      </c>
      <c r="B223" s="60"/>
      <c r="C223" s="60"/>
      <c r="D223" s="60"/>
      <c r="E223" s="60"/>
      <c r="F223" s="60"/>
      <c r="G223" s="60"/>
      <c r="H223" s="60"/>
      <c r="I223" s="60"/>
      <c r="J223" s="109"/>
    </row>
    <row r="224" spans="1:12" x14ac:dyDescent="0.3">
      <c r="A224" s="172" t="s">
        <v>241</v>
      </c>
      <c r="B224" s="163">
        <f>IF(ISNA(VLOOKUP($J224,FM!$A:$J,3,FALSE)),0,VLOOKUP($J224,FM!$A:$J,3,FALSE))</f>
        <v>80695343.090000004</v>
      </c>
      <c r="C224" s="163">
        <f>IF(ISNA(VLOOKUP($J224,FM!$A:$J,4,FALSE)),0,VLOOKUP($J224,FM!$A:$J,4,FALSE))</f>
        <v>15875501.359999999</v>
      </c>
      <c r="D224" s="163">
        <f>IF(ISNA(VLOOKUP($J224,FM!$A:$J,5,FALSE)),0,VLOOKUP($J224,FM!$A:$J,5,FALSE))</f>
        <v>0</v>
      </c>
      <c r="E224" s="163">
        <f>IF(ISNA(VLOOKUP($J224,FM!$A:$J,6,FALSE)),0,VLOOKUP($J224,FM!$A:$J,6,FALSE))</f>
        <v>0</v>
      </c>
      <c r="F224" s="163">
        <f>IF(ISNA(VLOOKUP($J224,FM!$A:$J,7,FALSE)),0,VLOOKUP($J224,FM!$A:$J,7,FALSE))</f>
        <v>0</v>
      </c>
      <c r="G224" s="163">
        <f t="shared" ref="G224:H224" si="43">B224+E224</f>
        <v>80695343.090000004</v>
      </c>
      <c r="H224" s="163">
        <f t="shared" si="43"/>
        <v>15875501.359999999</v>
      </c>
      <c r="I224" s="163">
        <f t="shared" ref="I224" si="44">SUM(G224:H224)</f>
        <v>96570844.450000003</v>
      </c>
      <c r="J224" s="167" t="s">
        <v>730</v>
      </c>
    </row>
    <row r="225" spans="1:12" x14ac:dyDescent="0.3">
      <c r="A225" s="109" t="s">
        <v>242</v>
      </c>
      <c r="B225" s="60">
        <f>SUM(B224)</f>
        <v>80695343.090000004</v>
      </c>
      <c r="C225" s="60">
        <f t="shared" ref="C225:I225" si="45">SUM(C224)</f>
        <v>15875501.359999999</v>
      </c>
      <c r="D225" s="60">
        <f t="shared" si="45"/>
        <v>0</v>
      </c>
      <c r="E225" s="60">
        <f t="shared" si="45"/>
        <v>0</v>
      </c>
      <c r="F225" s="60">
        <f t="shared" si="45"/>
        <v>0</v>
      </c>
      <c r="G225" s="60">
        <f t="shared" si="45"/>
        <v>80695343.090000004</v>
      </c>
      <c r="H225" s="60">
        <f t="shared" si="45"/>
        <v>15875501.359999999</v>
      </c>
      <c r="I225" s="60">
        <f t="shared" si="45"/>
        <v>96570844.450000003</v>
      </c>
      <c r="J225" s="164" t="s">
        <v>728</v>
      </c>
    </row>
    <row r="226" spans="1:12" x14ac:dyDescent="0.3">
      <c r="A226" s="59" t="s">
        <v>243</v>
      </c>
      <c r="B226" s="160"/>
      <c r="C226" s="160"/>
      <c r="D226" s="160"/>
      <c r="E226" s="160"/>
      <c r="F226" s="160"/>
      <c r="G226" s="160"/>
      <c r="H226" s="160"/>
      <c r="I226" s="160"/>
      <c r="J226" s="109"/>
    </row>
    <row r="227" spans="1:12" x14ac:dyDescent="0.3">
      <c r="A227" s="109" t="s">
        <v>244</v>
      </c>
      <c r="B227" s="60">
        <f>IF(ISNA(VLOOKUP($J227,FM!$A:$J,3,FALSE)),0,VLOOKUP($J227,FM!$A:$J,3,FALSE))</f>
        <v>4836585.09</v>
      </c>
      <c r="C227" s="60">
        <f>IF(ISNA(VLOOKUP($J227,FM!$A:$J,4,FALSE)),0,VLOOKUP($J227,FM!$A:$J,4,FALSE))</f>
        <v>728210.73</v>
      </c>
      <c r="D227" s="60">
        <f>IF(ISNA(VLOOKUP($J227,FM!$A:$J,5,FALSE)),0,VLOOKUP($J227,FM!$A:$J,5,FALSE))</f>
        <v>70341072.430000007</v>
      </c>
      <c r="E227" s="60">
        <f t="shared" ref="E227:E239" si="46">ROUND($D227*K227,2)</f>
        <v>46671301.560000002</v>
      </c>
      <c r="F227" s="60">
        <f t="shared" ref="F227:F239" si="47">ROUND($D227*L227,2)</f>
        <v>23669770.870000001</v>
      </c>
      <c r="G227" s="60">
        <f t="shared" ref="G227:H239" si="48">B227+E227</f>
        <v>51507886.650000006</v>
      </c>
      <c r="H227" s="60">
        <f t="shared" si="48"/>
        <v>24397981.600000001</v>
      </c>
      <c r="I227" s="60">
        <f t="shared" ref="I227:I239" si="49">SUM(G227:H227)</f>
        <v>75905868.25</v>
      </c>
      <c r="J227" s="167" t="s">
        <v>734</v>
      </c>
      <c r="K227" s="171">
        <f>+'Allocators (CBR)'!F25</f>
        <v>0.66349999999999998</v>
      </c>
      <c r="L227" s="171">
        <f>+'Allocators (CBR)'!G25</f>
        <v>0.33650000000000002</v>
      </c>
    </row>
    <row r="228" spans="1:12" x14ac:dyDescent="0.3">
      <c r="A228" s="109" t="s">
        <v>245</v>
      </c>
      <c r="B228" s="60">
        <f>IF(ISNA(VLOOKUP($J228,FM!$A:$J,3,FALSE)),0,VLOOKUP($J228,FM!$A:$J,3,FALSE))</f>
        <v>678589.23</v>
      </c>
      <c r="C228" s="60">
        <f>IF(ISNA(VLOOKUP($J228,FM!$A:$J,4,FALSE)),0,VLOOKUP($J228,FM!$A:$J,4,FALSE))</f>
        <v>553924.63</v>
      </c>
      <c r="D228" s="60">
        <f>IF(ISNA(VLOOKUP($J228,FM!$A:$J,5,FALSE)),0,VLOOKUP($J228,FM!$A:$J,5,FALSE))</f>
        <v>13336289.949999999</v>
      </c>
      <c r="E228" s="60">
        <f t="shared" si="46"/>
        <v>8848628.3800000008</v>
      </c>
      <c r="F228" s="60">
        <f t="shared" si="47"/>
        <v>4487661.57</v>
      </c>
      <c r="G228" s="60">
        <f t="shared" si="48"/>
        <v>9527217.6100000013</v>
      </c>
      <c r="H228" s="60">
        <f t="shared" si="48"/>
        <v>5041586.2</v>
      </c>
      <c r="I228" s="60">
        <f t="shared" si="49"/>
        <v>14568803.810000002</v>
      </c>
      <c r="J228" s="167" t="s">
        <v>736</v>
      </c>
      <c r="K228" s="171">
        <f>+'Allocators (CBR)'!F26</f>
        <v>0.66349999999999998</v>
      </c>
      <c r="L228" s="171">
        <f>+'Allocators (CBR)'!G26</f>
        <v>0.33650000000000002</v>
      </c>
    </row>
    <row r="229" spans="1:12" x14ac:dyDescent="0.3">
      <c r="A229" s="109" t="s">
        <v>246</v>
      </c>
      <c r="B229" s="60">
        <f>IF(ISNA(VLOOKUP($J229,FM!$A:$J,3,FALSE)),0,VLOOKUP($J229,FM!$A:$J,3,FALSE))</f>
        <v>-168912.38</v>
      </c>
      <c r="C229" s="60">
        <f>IF(ISNA(VLOOKUP($J229,FM!$A:$J,4,FALSE)),0,VLOOKUP($J229,FM!$A:$J,4,FALSE))</f>
        <v>-86280.9</v>
      </c>
      <c r="D229" s="60">
        <f>IF(ISNA(VLOOKUP($J229,FM!$A:$J,5,FALSE)),0,VLOOKUP($J229,FM!$A:$J,5,FALSE))</f>
        <v>-34914234.770000003</v>
      </c>
      <c r="E229" s="60">
        <f t="shared" si="46"/>
        <v>-23165594.77</v>
      </c>
      <c r="F229" s="60">
        <f t="shared" si="47"/>
        <v>-11748640</v>
      </c>
      <c r="G229" s="60">
        <f t="shared" si="48"/>
        <v>-23334507.149999999</v>
      </c>
      <c r="H229" s="60">
        <f t="shared" si="48"/>
        <v>-11834920.9</v>
      </c>
      <c r="I229" s="60">
        <f t="shared" si="49"/>
        <v>-35169428.049999997</v>
      </c>
      <c r="J229" s="167" t="s">
        <v>738</v>
      </c>
      <c r="K229" s="171">
        <f>+'Allocators (CBR)'!F27</f>
        <v>0.66349999999999998</v>
      </c>
      <c r="L229" s="171">
        <f>+'Allocators (CBR)'!G27</f>
        <v>0.33650000000000002</v>
      </c>
    </row>
    <row r="230" spans="1:12" x14ac:dyDescent="0.3">
      <c r="A230" s="109" t="s">
        <v>247</v>
      </c>
      <c r="B230" s="60">
        <f>IF(ISNA(VLOOKUP($J230,FM!$A:$J,3,FALSE)),0,VLOOKUP($J230,FM!$A:$J,3,FALSE))</f>
        <v>2019341.67</v>
      </c>
      <c r="C230" s="60">
        <f>IF(ISNA(VLOOKUP($J230,FM!$A:$J,4,FALSE)),0,VLOOKUP($J230,FM!$A:$J,4,FALSE))</f>
        <v>-163658.78</v>
      </c>
      <c r="D230" s="60">
        <f>IF(ISNA(VLOOKUP($J230,FM!$A:$J,5,FALSE)),0,VLOOKUP($J230,FM!$A:$J,5,FALSE))</f>
        <v>13399087.42</v>
      </c>
      <c r="E230" s="60">
        <f t="shared" si="46"/>
        <v>8890294.5</v>
      </c>
      <c r="F230" s="60">
        <f t="shared" si="47"/>
        <v>4508792.92</v>
      </c>
      <c r="G230" s="60">
        <f t="shared" si="48"/>
        <v>10909636.17</v>
      </c>
      <c r="H230" s="60">
        <f t="shared" si="48"/>
        <v>4345134.1399999997</v>
      </c>
      <c r="I230" s="60">
        <f t="shared" si="49"/>
        <v>15254770.309999999</v>
      </c>
      <c r="J230" s="167" t="s">
        <v>740</v>
      </c>
      <c r="K230" s="171">
        <f>+'Allocators (CBR)'!F28</f>
        <v>0.66349999999999998</v>
      </c>
      <c r="L230" s="171">
        <f>+'Allocators (CBR)'!G28</f>
        <v>0.33650000000000002</v>
      </c>
    </row>
    <row r="231" spans="1:12" x14ac:dyDescent="0.3">
      <c r="A231" s="109" t="s">
        <v>248</v>
      </c>
      <c r="B231" s="60">
        <f>IF(ISNA(VLOOKUP($J231,FM!$A:$J,3,FALSE)),0,VLOOKUP($J231,FM!$A:$J,3,FALSE))</f>
        <v>4841821.68</v>
      </c>
      <c r="C231" s="60">
        <f>IF(ISNA(VLOOKUP($J231,FM!$A:$J,4,FALSE)),0,VLOOKUP($J231,FM!$A:$J,4,FALSE))</f>
        <v>153041.39000000001</v>
      </c>
      <c r="D231" s="60">
        <f>IF(ISNA(VLOOKUP($J231,FM!$A:$J,5,FALSE)),0,VLOOKUP($J231,FM!$A:$J,5,FALSE))</f>
        <v>-18719.64</v>
      </c>
      <c r="E231" s="60">
        <f t="shared" si="46"/>
        <v>-11248.63</v>
      </c>
      <c r="F231" s="60">
        <f t="shared" si="47"/>
        <v>-7471.01</v>
      </c>
      <c r="G231" s="60">
        <f t="shared" si="48"/>
        <v>4830573.05</v>
      </c>
      <c r="H231" s="60">
        <f t="shared" si="48"/>
        <v>145570.38</v>
      </c>
      <c r="I231" s="60">
        <f t="shared" si="49"/>
        <v>4976143.43</v>
      </c>
      <c r="J231" s="167" t="s">
        <v>742</v>
      </c>
      <c r="K231" s="171">
        <f>+'Allocators (CBR)'!F29</f>
        <v>0.60089999999999999</v>
      </c>
      <c r="L231" s="171">
        <f>+'Allocators (CBR)'!G29</f>
        <v>0.39910000000000001</v>
      </c>
    </row>
    <row r="232" spans="1:12" x14ac:dyDescent="0.3">
      <c r="A232" s="109" t="s">
        <v>249</v>
      </c>
      <c r="B232" s="60">
        <f>IF(ISNA(VLOOKUP($J232,FM!$A:$J,3,FALSE)),0,VLOOKUP($J232,FM!$A:$J,3,FALSE))</f>
        <v>3180107.83</v>
      </c>
      <c r="C232" s="60">
        <f>IF(ISNA(VLOOKUP($J232,FM!$A:$J,4,FALSE)),0,VLOOKUP($J232,FM!$A:$J,4,FALSE))</f>
        <v>825378.98</v>
      </c>
      <c r="D232" s="60">
        <f>IF(ISNA(VLOOKUP($J232,FM!$A:$J,5,FALSE)),0,VLOOKUP($J232,FM!$A:$J,5,FALSE))</f>
        <v>5555201.8499999996</v>
      </c>
      <c r="E232" s="60">
        <f t="shared" si="46"/>
        <v>3226461.23</v>
      </c>
      <c r="F232" s="60">
        <f t="shared" si="47"/>
        <v>2328740.62</v>
      </c>
      <c r="G232" s="60">
        <f t="shared" si="48"/>
        <v>6406569.0600000005</v>
      </c>
      <c r="H232" s="60">
        <f t="shared" si="48"/>
        <v>3154119.6</v>
      </c>
      <c r="I232" s="60">
        <f t="shared" si="49"/>
        <v>9560688.6600000001</v>
      </c>
      <c r="J232" s="167" t="s">
        <v>744</v>
      </c>
      <c r="K232" s="171">
        <f>+'Allocators (CBR)'!F30</f>
        <v>0.58079999999999998</v>
      </c>
      <c r="L232" s="171">
        <f>+'Allocators (CBR)'!G30</f>
        <v>0.41920000000000002</v>
      </c>
    </row>
    <row r="233" spans="1:12" x14ac:dyDescent="0.3">
      <c r="A233" s="109" t="s">
        <v>250</v>
      </c>
      <c r="B233" s="60">
        <f>IF(ISNA(VLOOKUP($J233,FM!$A:$J,3,FALSE)),0,VLOOKUP($J233,FM!$A:$J,3,FALSE))</f>
        <v>19834536.68</v>
      </c>
      <c r="C233" s="60">
        <f>IF(ISNA(VLOOKUP($J233,FM!$A:$J,4,FALSE)),0,VLOOKUP($J233,FM!$A:$J,4,FALSE))</f>
        <v>8706053.2200000007</v>
      </c>
      <c r="D233" s="60">
        <f>IF(ISNA(VLOOKUP($J233,FM!$A:$J,5,FALSE)),0,VLOOKUP($J233,FM!$A:$J,5,FALSE))</f>
        <v>15389783.6</v>
      </c>
      <c r="E233" s="60">
        <f t="shared" si="46"/>
        <v>10745146.91</v>
      </c>
      <c r="F233" s="60">
        <f t="shared" si="47"/>
        <v>4644636.6900000004</v>
      </c>
      <c r="G233" s="60">
        <f t="shared" si="48"/>
        <v>30579683.59</v>
      </c>
      <c r="H233" s="60">
        <f t="shared" si="48"/>
        <v>13350689.91</v>
      </c>
      <c r="I233" s="60">
        <f t="shared" si="49"/>
        <v>43930373.5</v>
      </c>
      <c r="J233" s="167" t="s">
        <v>746</v>
      </c>
      <c r="K233" s="171">
        <f>+'Allocators (CBR)'!F31</f>
        <v>0.69820000000000004</v>
      </c>
      <c r="L233" s="171">
        <f>+'Allocators (CBR)'!G31</f>
        <v>0.30180000000000001</v>
      </c>
    </row>
    <row r="234" spans="1:12" x14ac:dyDescent="0.3">
      <c r="A234" s="109" t="s">
        <v>251</v>
      </c>
      <c r="B234" s="60">
        <f>IF(ISNA(VLOOKUP($J234,FM!$A:$J,3,FALSE)),0,VLOOKUP($J234,FM!$A:$J,3,FALSE))</f>
        <v>7380103.4100000001</v>
      </c>
      <c r="C234" s="60">
        <f>IF(ISNA(VLOOKUP($J234,FM!$A:$J,4,FALSE)),0,VLOOKUP($J234,FM!$A:$J,4,FALSE))</f>
        <v>1940741.47</v>
      </c>
      <c r="D234" s="60">
        <f>IF(ISNA(VLOOKUP($J234,FM!$A:$J,5,FALSE)),0,VLOOKUP($J234,FM!$A:$J,5,FALSE))</f>
        <v>1838173.98</v>
      </c>
      <c r="E234" s="60">
        <f t="shared" si="46"/>
        <v>1219628.44</v>
      </c>
      <c r="F234" s="60">
        <f t="shared" si="47"/>
        <v>618545.54</v>
      </c>
      <c r="G234" s="60">
        <f t="shared" si="48"/>
        <v>8599731.8499999996</v>
      </c>
      <c r="H234" s="60">
        <f t="shared" si="48"/>
        <v>2559287.0099999998</v>
      </c>
      <c r="I234" s="60">
        <f t="shared" si="49"/>
        <v>11159018.859999999</v>
      </c>
      <c r="J234" s="167" t="s">
        <v>748</v>
      </c>
      <c r="K234" s="171">
        <f>+'Allocators (CBR)'!F32</f>
        <v>0.66349999999999998</v>
      </c>
      <c r="L234" s="171">
        <f>+'Allocators (CBR)'!G32</f>
        <v>0.33650000000000002</v>
      </c>
    </row>
    <row r="235" spans="1:12" x14ac:dyDescent="0.3">
      <c r="A235" s="109" t="s">
        <v>252</v>
      </c>
      <c r="B235" s="60">
        <f>IF(ISNA(VLOOKUP($J235,FM!$A:$J,3,FALSE)),0,VLOOKUP($J235,FM!$A:$J,3,FALSE))</f>
        <v>75719.740000000005</v>
      </c>
      <c r="C235" s="60">
        <f>IF(ISNA(VLOOKUP($J235,FM!$A:$J,4,FALSE)),0,VLOOKUP($J235,FM!$A:$J,4,FALSE))</f>
        <v>0</v>
      </c>
      <c r="D235" s="60">
        <f>IF(ISNA(VLOOKUP($J235,FM!$A:$J,5,FALSE)),0,VLOOKUP($J235,FM!$A:$J,5,FALSE))</f>
        <v>594.6</v>
      </c>
      <c r="E235" s="60">
        <f t="shared" si="46"/>
        <v>394.52</v>
      </c>
      <c r="F235" s="60">
        <f t="shared" si="47"/>
        <v>200.08</v>
      </c>
      <c r="G235" s="60">
        <f t="shared" si="48"/>
        <v>76114.260000000009</v>
      </c>
      <c r="H235" s="60">
        <f t="shared" si="48"/>
        <v>200.08</v>
      </c>
      <c r="I235" s="60">
        <f t="shared" si="49"/>
        <v>76314.340000000011</v>
      </c>
      <c r="J235" s="167" t="s">
        <v>896</v>
      </c>
      <c r="K235" s="171">
        <f>+'Allocators (CBR)'!F33</f>
        <v>0.66349999999999998</v>
      </c>
      <c r="L235" s="171">
        <f>+'Allocators (CBR)'!G33</f>
        <v>0.33650000000000002</v>
      </c>
    </row>
    <row r="236" spans="1:12" x14ac:dyDescent="0.3">
      <c r="A236" s="109" t="s">
        <v>253</v>
      </c>
      <c r="B236" s="60">
        <f>IF(ISNA(VLOOKUP($J236,FM!$A:$J,3,FALSE)),0,VLOOKUP($J236,FM!$A:$J,3,FALSE))</f>
        <v>793625.41</v>
      </c>
      <c r="C236" s="60">
        <f>IF(ISNA(VLOOKUP($J236,FM!$A:$J,4,FALSE)),0,VLOOKUP($J236,FM!$A:$J,4,FALSE))</f>
        <v>466454.19</v>
      </c>
      <c r="D236" s="60">
        <f>IF(ISNA(VLOOKUP($J236,FM!$A:$J,5,FALSE)),0,VLOOKUP($J236,FM!$A:$J,5,FALSE))</f>
        <v>11245803.73</v>
      </c>
      <c r="E236" s="60">
        <f t="shared" si="46"/>
        <v>7461590.7699999996</v>
      </c>
      <c r="F236" s="60">
        <f t="shared" si="47"/>
        <v>3784212.96</v>
      </c>
      <c r="G236" s="60">
        <f t="shared" si="48"/>
        <v>8255216.1799999997</v>
      </c>
      <c r="H236" s="60">
        <f t="shared" si="48"/>
        <v>4250667.1500000004</v>
      </c>
      <c r="I236" s="60">
        <f t="shared" si="49"/>
        <v>12505883.33</v>
      </c>
      <c r="J236" s="167" t="s">
        <v>750</v>
      </c>
      <c r="K236" s="171">
        <f>+'Allocators (CBR)'!F34</f>
        <v>0.66349999999999998</v>
      </c>
      <c r="L236" s="171">
        <f>+'Allocators (CBR)'!G34</f>
        <v>0.33650000000000002</v>
      </c>
    </row>
    <row r="237" spans="1:12" x14ac:dyDescent="0.3">
      <c r="A237" s="109" t="s">
        <v>254</v>
      </c>
      <c r="B237" s="60">
        <f>IF(ISNA(VLOOKUP($J237,FM!$A:$J,3,FALSE)),0,VLOOKUP($J237,FM!$A:$J,3,FALSE))</f>
        <v>251326.75</v>
      </c>
      <c r="C237" s="60">
        <f>IF(ISNA(VLOOKUP($J237,FM!$A:$J,4,FALSE)),0,VLOOKUP($J237,FM!$A:$J,4,FALSE))</f>
        <v>0</v>
      </c>
      <c r="D237" s="60">
        <f>IF(ISNA(VLOOKUP($J237,FM!$A:$J,5,FALSE)),0,VLOOKUP($J237,FM!$A:$J,5,FALSE))</f>
        <v>10405336.310000001</v>
      </c>
      <c r="E237" s="60">
        <f t="shared" si="46"/>
        <v>6903940.6399999997</v>
      </c>
      <c r="F237" s="60">
        <f t="shared" si="47"/>
        <v>3501395.67</v>
      </c>
      <c r="G237" s="60">
        <f t="shared" si="48"/>
        <v>7155267.3899999997</v>
      </c>
      <c r="H237" s="60">
        <f t="shared" si="48"/>
        <v>3501395.67</v>
      </c>
      <c r="I237" s="60">
        <f t="shared" si="49"/>
        <v>10656663.059999999</v>
      </c>
      <c r="J237" s="167" t="s">
        <v>752</v>
      </c>
      <c r="K237" s="171">
        <f>+'Allocators (CBR)'!F35</f>
        <v>0.66349999999999998</v>
      </c>
      <c r="L237" s="171">
        <f>+'Allocators (CBR)'!G35</f>
        <v>0.33650000000000002</v>
      </c>
    </row>
    <row r="238" spans="1:12" x14ac:dyDescent="0.3">
      <c r="A238" s="109" t="s">
        <v>255</v>
      </c>
      <c r="B238" s="60">
        <f>IF(ISNA(VLOOKUP($J238,FM!$A:$J,3,FALSE)),0,VLOOKUP($J238,FM!$A:$J,3,FALSE))</f>
        <v>0</v>
      </c>
      <c r="C238" s="60">
        <f>IF(ISNA(VLOOKUP($J238,FM!$A:$J,4,FALSE)),0,VLOOKUP($J238,FM!$A:$J,4,FALSE))</f>
        <v>1019983.53</v>
      </c>
      <c r="D238" s="60">
        <f>IF(ISNA(VLOOKUP($J238,FM!$A:$J,5,FALSE)),0,VLOOKUP($J238,FM!$A:$J,5,FALSE))</f>
        <v>0</v>
      </c>
      <c r="E238" s="60">
        <f t="shared" si="46"/>
        <v>0</v>
      </c>
      <c r="F238" s="60">
        <f t="shared" si="47"/>
        <v>0</v>
      </c>
      <c r="G238" s="60">
        <f t="shared" si="48"/>
        <v>0</v>
      </c>
      <c r="H238" s="60">
        <f t="shared" si="48"/>
        <v>1019983.53</v>
      </c>
      <c r="I238" s="60">
        <f t="shared" si="49"/>
        <v>1019983.53</v>
      </c>
      <c r="J238" s="167" t="s">
        <v>754</v>
      </c>
      <c r="K238" s="171">
        <f>+'Allocators (CBR)'!F36</f>
        <v>0.66349999999999998</v>
      </c>
      <c r="L238" s="171">
        <f>+'Allocators (CBR)'!G36</f>
        <v>0.33650000000000002</v>
      </c>
    </row>
    <row r="239" spans="1:12" x14ac:dyDescent="0.3">
      <c r="A239" s="109" t="s">
        <v>256</v>
      </c>
      <c r="B239" s="163">
        <f>IF(ISNA(VLOOKUP($J239,FM!$A:$J,3,FALSE)),0,VLOOKUP($J239,FM!$A:$J,3,FALSE))</f>
        <v>843326.89</v>
      </c>
      <c r="C239" s="163">
        <f>IF(ISNA(VLOOKUP($J239,FM!$A:$J,4,FALSE)),0,VLOOKUP($J239,FM!$A:$J,4,FALSE))</f>
        <v>0</v>
      </c>
      <c r="D239" s="163">
        <f>IF(ISNA(VLOOKUP($J239,FM!$A:$J,5,FALSE)),0,VLOOKUP($J239,FM!$A:$J,5,FALSE))</f>
        <v>24078328.77</v>
      </c>
      <c r="E239" s="163">
        <f t="shared" si="46"/>
        <v>15975971.140000001</v>
      </c>
      <c r="F239" s="163">
        <f t="shared" si="47"/>
        <v>8102357.6299999999</v>
      </c>
      <c r="G239" s="163">
        <f t="shared" si="48"/>
        <v>16819298.030000001</v>
      </c>
      <c r="H239" s="163">
        <f t="shared" si="48"/>
        <v>8102357.6299999999</v>
      </c>
      <c r="I239" s="163">
        <f t="shared" si="49"/>
        <v>24921655.66</v>
      </c>
      <c r="J239" s="167" t="s">
        <v>756</v>
      </c>
      <c r="K239" s="171">
        <f>+'Allocators (CBR)'!F37</f>
        <v>0.66349999999999998</v>
      </c>
      <c r="L239" s="171">
        <f>+'Allocators (CBR)'!G37</f>
        <v>0.33650000000000002</v>
      </c>
    </row>
    <row r="240" spans="1:12" x14ac:dyDescent="0.3">
      <c r="A240" s="109" t="s">
        <v>257</v>
      </c>
      <c r="B240" s="60">
        <f>SUM(B227:B239)</f>
        <v>44566171.999999993</v>
      </c>
      <c r="C240" s="60">
        <f t="shared" ref="C240:I240" si="50">SUM(C227:C239)</f>
        <v>14143848.459999999</v>
      </c>
      <c r="D240" s="60">
        <f t="shared" si="50"/>
        <v>130656718.23</v>
      </c>
      <c r="E240" s="60">
        <f t="shared" si="50"/>
        <v>86766514.689999998</v>
      </c>
      <c r="F240" s="60">
        <f t="shared" si="50"/>
        <v>43890203.539999999</v>
      </c>
      <c r="G240" s="60">
        <f t="shared" si="50"/>
        <v>131332686.69000001</v>
      </c>
      <c r="H240" s="60">
        <f t="shared" si="50"/>
        <v>58034052</v>
      </c>
      <c r="I240" s="60">
        <f t="shared" si="50"/>
        <v>189366738.69</v>
      </c>
      <c r="J240" s="164" t="s">
        <v>732</v>
      </c>
    </row>
    <row r="241" spans="1:12" ht="15" thickBot="1" x14ac:dyDescent="0.35">
      <c r="A241" s="109" t="s">
        <v>258</v>
      </c>
      <c r="B241" s="173">
        <f>B138+B168+B206+B213+B222+B225+B240</f>
        <v>402914947.8499999</v>
      </c>
      <c r="C241" s="173">
        <f t="shared" ref="C241:I241" si="51">C138+C168+C206+C213+C222+C225+C240</f>
        <v>110655312.37</v>
      </c>
      <c r="D241" s="173">
        <f t="shared" si="51"/>
        <v>172686367.75</v>
      </c>
      <c r="E241" s="173">
        <f t="shared" si="51"/>
        <v>111288210.05</v>
      </c>
      <c r="F241" s="173">
        <f t="shared" si="51"/>
        <v>61398157.700000003</v>
      </c>
      <c r="G241" s="173">
        <f t="shared" si="51"/>
        <v>514203157.89999992</v>
      </c>
      <c r="H241" s="173">
        <f t="shared" si="51"/>
        <v>172053470.07000002</v>
      </c>
      <c r="I241" s="173">
        <f t="shared" si="51"/>
        <v>686256627.97000003</v>
      </c>
      <c r="J241" s="164" t="s">
        <v>506</v>
      </c>
    </row>
    <row r="242" spans="1:12" ht="15" thickTop="1" x14ac:dyDescent="0.3">
      <c r="A242" s="158"/>
      <c r="B242" s="174"/>
      <c r="C242" s="174"/>
      <c r="D242" s="174"/>
      <c r="E242" s="174"/>
      <c r="F242" s="174"/>
      <c r="G242" s="174"/>
      <c r="H242" s="174"/>
      <c r="I242" s="174"/>
      <c r="J242" s="109"/>
    </row>
    <row r="243" spans="1:12" x14ac:dyDescent="0.3">
      <c r="A243" s="109" t="s">
        <v>259</v>
      </c>
      <c r="B243" s="160"/>
      <c r="C243" s="160"/>
      <c r="D243" s="160"/>
      <c r="E243" s="160"/>
      <c r="F243" s="160"/>
      <c r="G243" s="160"/>
      <c r="H243" s="160"/>
      <c r="I243" s="160"/>
      <c r="J243" s="109"/>
    </row>
    <row r="244" spans="1:12" x14ac:dyDescent="0.3">
      <c r="A244" s="59" t="s">
        <v>260</v>
      </c>
      <c r="B244" s="160"/>
      <c r="C244" s="160"/>
      <c r="D244" s="160"/>
      <c r="E244" s="160"/>
      <c r="F244" s="160"/>
      <c r="G244" s="160"/>
      <c r="H244" s="160"/>
      <c r="I244" s="160"/>
    </row>
    <row r="245" spans="1:12" x14ac:dyDescent="0.3">
      <c r="A245" s="109" t="s">
        <v>261</v>
      </c>
      <c r="B245" s="60">
        <f>IF(ISNA(VLOOKUP($J245,FM!$A:$J,3,FALSE)),0,VLOOKUP($J245,FM!$A:$J,3,FALSE))</f>
        <v>326659699.29000002</v>
      </c>
      <c r="C245" s="60">
        <f>IF(ISNA(VLOOKUP($J245,FM!$A:$J,4,FALSE)),0,VLOOKUP($J245,FM!$A:$J,4,FALSE))</f>
        <v>115146400.23</v>
      </c>
      <c r="D245" s="60">
        <f>IF(ISNA(VLOOKUP($J245,FM!$A:$J,5,FALSE)),0,VLOOKUP($J245,FM!$A:$J,5,FALSE))</f>
        <v>28807151.82</v>
      </c>
      <c r="E245" s="60">
        <f t="shared" ref="E245:E246" si="52">ROUND($D245*K245,2)</f>
        <v>19113545.23</v>
      </c>
      <c r="F245" s="60">
        <f t="shared" ref="F245:F246" si="53">ROUND($D245*L245,2)</f>
        <v>9693606.5899999999</v>
      </c>
      <c r="G245" s="60">
        <f t="shared" ref="G245:H246" si="54">B245+E245</f>
        <v>345773244.52000004</v>
      </c>
      <c r="H245" s="60">
        <f t="shared" si="54"/>
        <v>124840006.82000001</v>
      </c>
      <c r="I245" s="60">
        <f t="shared" ref="I245" si="55">SUM(G245:H245)</f>
        <v>470613251.34000003</v>
      </c>
      <c r="J245" s="167" t="s">
        <v>762</v>
      </c>
      <c r="K245" s="171">
        <f>+'Allocators (CBR)'!F40</f>
        <v>0.66349999999999998</v>
      </c>
      <c r="L245" s="171">
        <f>+'Allocators (CBR)'!G40</f>
        <v>0.33650000000000002</v>
      </c>
    </row>
    <row r="246" spans="1:12" x14ac:dyDescent="0.3">
      <c r="A246" s="109" t="s">
        <v>262</v>
      </c>
      <c r="B246" s="163">
        <f>IF(ISNA(VLOOKUP($J246,FM!$A:$J,3,FALSE)),0,VLOOKUP($J246,FM!$A:$J,3,FALSE))</f>
        <v>7500448.2000000002</v>
      </c>
      <c r="C246" s="163">
        <f>IF(ISNA(VLOOKUP($J246,FM!$A:$J,4,FALSE)),0,VLOOKUP($J246,FM!$A:$J,4,FALSE))</f>
        <v>152594.09</v>
      </c>
      <c r="D246" s="163">
        <f>IF(ISNA(VLOOKUP($J246,FM!$A:$J,5,FALSE)),0,VLOOKUP($J246,FM!$A:$J,5,FALSE))</f>
        <v>50661.79</v>
      </c>
      <c r="E246" s="163">
        <f t="shared" si="52"/>
        <v>33614.1</v>
      </c>
      <c r="F246" s="163">
        <f t="shared" si="53"/>
        <v>17047.689999999999</v>
      </c>
      <c r="G246" s="163">
        <f t="shared" si="54"/>
        <v>7534062.2999999998</v>
      </c>
      <c r="H246" s="163">
        <f t="shared" si="54"/>
        <v>169641.78</v>
      </c>
      <c r="I246" s="163">
        <f>SUM(G246:H246)</f>
        <v>7703704.0800000001</v>
      </c>
      <c r="J246" s="167" t="s">
        <v>764</v>
      </c>
      <c r="K246" s="171">
        <f>+'Allocators (CBR)'!F41</f>
        <v>0.66349999999999998</v>
      </c>
      <c r="L246" s="171">
        <f>+'Allocators (CBR)'!G41</f>
        <v>0.33650000000000002</v>
      </c>
    </row>
    <row r="247" spans="1:12" x14ac:dyDescent="0.3">
      <c r="A247" s="109" t="s">
        <v>263</v>
      </c>
      <c r="B247" s="60">
        <f>SUM(B245:B246)</f>
        <v>334160147.49000001</v>
      </c>
      <c r="C247" s="60">
        <f t="shared" ref="C247:I247" si="56">SUM(C245:C246)</f>
        <v>115298994.32000001</v>
      </c>
      <c r="D247" s="60">
        <f t="shared" si="56"/>
        <v>28857813.609999999</v>
      </c>
      <c r="E247" s="60">
        <f t="shared" si="56"/>
        <v>19147159.330000002</v>
      </c>
      <c r="F247" s="60">
        <f t="shared" si="56"/>
        <v>9710654.2799999993</v>
      </c>
      <c r="G247" s="60">
        <f t="shared" si="56"/>
        <v>353307306.82000005</v>
      </c>
      <c r="H247" s="60">
        <f t="shared" si="56"/>
        <v>125009648.60000001</v>
      </c>
      <c r="I247" s="60">
        <f t="shared" si="56"/>
        <v>478316955.42000002</v>
      </c>
      <c r="J247" s="164" t="s">
        <v>760</v>
      </c>
    </row>
    <row r="248" spans="1:12" x14ac:dyDescent="0.3">
      <c r="A248" s="59" t="s">
        <v>264</v>
      </c>
      <c r="B248" s="60"/>
      <c r="C248" s="60"/>
      <c r="D248" s="60"/>
      <c r="E248" s="60"/>
      <c r="F248" s="60"/>
      <c r="G248" s="60"/>
      <c r="H248" s="60"/>
      <c r="I248" s="60"/>
    </row>
    <row r="249" spans="1:12" x14ac:dyDescent="0.3">
      <c r="A249" s="109" t="s">
        <v>265</v>
      </c>
      <c r="B249" s="60">
        <f>IFERROR(SUMIF(FM!$A:$A,'Unallocated Detail (CBR)'!$J249,FM!C:C),0)</f>
        <v>16564221.130000001</v>
      </c>
      <c r="C249" s="60">
        <f>IFERROR(SUMIF(FM!$A:$A,'Unallocated Detail (CBR)'!$J249,FM!D:D),0)</f>
        <v>3623773.68</v>
      </c>
      <c r="D249" s="60">
        <f>IFERROR(SUMIF(FM!$A:$A,'Unallocated Detail (CBR)'!$J249,FM!E:E),0)</f>
        <v>100847224.62</v>
      </c>
      <c r="E249" s="60">
        <f t="shared" ref="E249:E251" si="57">ROUND($D249*K249,2)</f>
        <v>66912133.539999999</v>
      </c>
      <c r="F249" s="60">
        <f t="shared" ref="F249:F251" si="58">ROUND($D249*L249,2)</f>
        <v>33935091.079999998</v>
      </c>
      <c r="G249" s="60">
        <f t="shared" ref="G249:H251" si="59">B249+E249</f>
        <v>83476354.670000002</v>
      </c>
      <c r="H249" s="60">
        <f t="shared" si="59"/>
        <v>37558864.759999998</v>
      </c>
      <c r="I249" s="60">
        <f t="shared" ref="I249" si="60">SUM(G249:H249)</f>
        <v>121035219.43000001</v>
      </c>
      <c r="J249" s="167" t="s">
        <v>926</v>
      </c>
      <c r="K249" s="171">
        <f>+'Allocators (CBR)'!F44</f>
        <v>0.66349999999999998</v>
      </c>
      <c r="L249" s="171">
        <f>+'Allocators (CBR)'!G44</f>
        <v>0.33650000000000002</v>
      </c>
    </row>
    <row r="250" spans="1:12" x14ac:dyDescent="0.3">
      <c r="A250" s="109" t="s">
        <v>266</v>
      </c>
      <c r="B250" s="60">
        <f>IF(ISNA(VLOOKUP($J250,FM!$A:$J,3,FALSE)),0,VLOOKUP($J250,FM!$A:$J,3,FALSE))</f>
        <v>11737267.6</v>
      </c>
      <c r="C250" s="60">
        <f>IF(ISNA(VLOOKUP($J250,FM!$A:$J,4,FALSE)),0,VLOOKUP($J250,FM!$A:$J,4,FALSE))</f>
        <v>0</v>
      </c>
      <c r="D250" s="60">
        <f>IF(ISNA(VLOOKUP($J250,FM!$A:$J,5,FALSE)),0,VLOOKUP($J250,FM!$A:$J,5,FALSE))</f>
        <v>0</v>
      </c>
      <c r="E250" s="60">
        <f t="shared" si="57"/>
        <v>0</v>
      </c>
      <c r="F250" s="60">
        <f t="shared" si="58"/>
        <v>0</v>
      </c>
      <c r="G250" s="60">
        <f t="shared" si="59"/>
        <v>11737267.6</v>
      </c>
      <c r="H250" s="60">
        <f t="shared" si="59"/>
        <v>0</v>
      </c>
      <c r="I250" s="60">
        <f t="shared" ref="I250:I251" si="61">SUM(G250:H250)</f>
        <v>11737267.6</v>
      </c>
      <c r="J250" s="167" t="s">
        <v>770</v>
      </c>
      <c r="K250" s="171">
        <f>+'Allocators (CBR)'!F45</f>
        <v>0.66349999999999998</v>
      </c>
      <c r="L250" s="171">
        <f>+'Allocators (CBR)'!G45</f>
        <v>0.33650000000000002</v>
      </c>
    </row>
    <row r="251" spans="1:12" x14ac:dyDescent="0.3">
      <c r="A251" s="109" t="s">
        <v>267</v>
      </c>
      <c r="B251" s="163">
        <f>IF(ISNA(VLOOKUP($J251,FM!$A:$J,3,FALSE)),0,VLOOKUP($J251,FM!$A:$J,3,FALSE))</f>
        <v>3598468.49</v>
      </c>
      <c r="C251" s="163">
        <f>IF(ISNA(VLOOKUP($J251,FM!$A:$J,4,FALSE)),0,VLOOKUP($J251,FM!$A:$J,4,FALSE))</f>
        <v>218322.85</v>
      </c>
      <c r="D251" s="163">
        <f>IF(ISNA(VLOOKUP($J251,FM!$A:$J,5,FALSE)),0,VLOOKUP($J251,FM!$A:$J,5,FALSE))</f>
        <v>20387.57</v>
      </c>
      <c r="E251" s="163">
        <f t="shared" si="57"/>
        <v>13527.15</v>
      </c>
      <c r="F251" s="163">
        <f t="shared" si="58"/>
        <v>6860.42</v>
      </c>
      <c r="G251" s="163">
        <f t="shared" si="59"/>
        <v>3611995.64</v>
      </c>
      <c r="H251" s="163">
        <f t="shared" si="59"/>
        <v>225183.27000000002</v>
      </c>
      <c r="I251" s="163">
        <f t="shared" si="61"/>
        <v>3837178.91</v>
      </c>
      <c r="J251" s="167" t="s">
        <v>772</v>
      </c>
      <c r="K251" s="171">
        <f>+'Allocators (CBR)'!F46</f>
        <v>0.66349999999999998</v>
      </c>
      <c r="L251" s="171">
        <f>+'Allocators (CBR)'!G46</f>
        <v>0.33650000000000002</v>
      </c>
    </row>
    <row r="252" spans="1:12" x14ac:dyDescent="0.3">
      <c r="A252" s="109" t="s">
        <v>268</v>
      </c>
      <c r="B252" s="60">
        <f>SUM(B249:B251)</f>
        <v>31899957.219999999</v>
      </c>
      <c r="C252" s="60">
        <f t="shared" ref="C252:I252" si="62">SUM(C249:C251)</f>
        <v>3842096.5300000003</v>
      </c>
      <c r="D252" s="60">
        <f t="shared" si="62"/>
        <v>100867612.19</v>
      </c>
      <c r="E252" s="60">
        <f t="shared" si="62"/>
        <v>66925660.689999998</v>
      </c>
      <c r="F252" s="60">
        <f t="shared" si="62"/>
        <v>33941951.5</v>
      </c>
      <c r="G252" s="60">
        <f t="shared" si="62"/>
        <v>98825617.909999996</v>
      </c>
      <c r="H252" s="60">
        <f t="shared" si="62"/>
        <v>37784048.030000001</v>
      </c>
      <c r="I252" s="60">
        <f t="shared" si="62"/>
        <v>136609665.94</v>
      </c>
      <c r="J252" s="164" t="s">
        <v>766</v>
      </c>
    </row>
    <row r="253" spans="1:12" x14ac:dyDescent="0.3">
      <c r="A253" s="59" t="s">
        <v>269</v>
      </c>
      <c r="B253" s="60"/>
      <c r="C253" s="60"/>
      <c r="D253" s="60"/>
      <c r="E253" s="60"/>
      <c r="F253" s="60"/>
      <c r="G253" s="60"/>
      <c r="H253" s="60"/>
      <c r="I253" s="60"/>
      <c r="J253" s="106"/>
    </row>
    <row r="254" spans="1:12" x14ac:dyDescent="0.3">
      <c r="A254" s="109" t="s">
        <v>270</v>
      </c>
      <c r="B254" s="163">
        <f>IF(ISNA(VLOOKUP($J254,FM!$A:$J,3,FALSE)),0,VLOOKUP($J254,FM!$A:$J,3,FALSE))</f>
        <v>31893438.41</v>
      </c>
      <c r="C254" s="163">
        <f>IF(ISNA(VLOOKUP($J254,FM!$A:$J,4,FALSE)),0,VLOOKUP($J254,FM!$A:$J,4,FALSE))</f>
        <v>0</v>
      </c>
      <c r="D254" s="163">
        <f>IF(ISNA(VLOOKUP($J254,FM!$A:$J,5,FALSE)),0,VLOOKUP($J254,FM!$A:$J,5,FALSE))</f>
        <v>0</v>
      </c>
      <c r="E254" s="163">
        <f>IF(ISNA(VLOOKUP($J254,FM!$A:$J,6,FALSE)),0,VLOOKUP($J254,FM!$A:$J,6,FALSE))</f>
        <v>0</v>
      </c>
      <c r="F254" s="163">
        <f>IF(ISNA(VLOOKUP($J254,FM!$A:$J,7,FALSE)),0,VLOOKUP($J254,FM!$A:$J,7,FALSE))</f>
        <v>0</v>
      </c>
      <c r="G254" s="163">
        <f t="shared" ref="G254:H254" si="63">B254+E254</f>
        <v>31893438.41</v>
      </c>
      <c r="H254" s="163">
        <f t="shared" si="63"/>
        <v>0</v>
      </c>
      <c r="I254" s="163">
        <f t="shared" ref="I254" si="64">SUM(G254:H254)</f>
        <v>31893438.41</v>
      </c>
      <c r="J254" s="167" t="s">
        <v>778</v>
      </c>
    </row>
    <row r="255" spans="1:12" x14ac:dyDescent="0.3">
      <c r="A255" s="109" t="s">
        <v>271</v>
      </c>
      <c r="B255" s="60">
        <f>SUM(B254)</f>
        <v>31893438.41</v>
      </c>
      <c r="C255" s="60">
        <f t="shared" ref="C255:I255" si="65">SUM(C254)</f>
        <v>0</v>
      </c>
      <c r="D255" s="60">
        <f t="shared" si="65"/>
        <v>0</v>
      </c>
      <c r="E255" s="60">
        <f t="shared" si="65"/>
        <v>0</v>
      </c>
      <c r="F255" s="60">
        <f t="shared" si="65"/>
        <v>0</v>
      </c>
      <c r="G255" s="60">
        <f t="shared" si="65"/>
        <v>31893438.41</v>
      </c>
      <c r="H255" s="60">
        <f t="shared" si="65"/>
        <v>0</v>
      </c>
      <c r="I255" s="60">
        <f t="shared" si="65"/>
        <v>31893438.41</v>
      </c>
      <c r="J255" s="164" t="s">
        <v>776</v>
      </c>
    </row>
    <row r="256" spans="1:12" x14ac:dyDescent="0.3">
      <c r="A256" s="59" t="s">
        <v>272</v>
      </c>
      <c r="B256" s="60"/>
      <c r="C256" s="60"/>
      <c r="D256" s="60"/>
      <c r="E256" s="60"/>
      <c r="F256" s="60"/>
      <c r="G256" s="60"/>
      <c r="H256" s="60"/>
      <c r="I256" s="60"/>
      <c r="J256" s="106"/>
    </row>
    <row r="257" spans="1:12" x14ac:dyDescent="0.3">
      <c r="A257" s="109" t="s">
        <v>273</v>
      </c>
      <c r="B257" s="60">
        <f>IF(ISNA(VLOOKUP($J257,FM!$A:$J,3,FALSE)),0,VLOOKUP($J257,FM!$A:$J,3,FALSE))</f>
        <v>8763270.7599999998</v>
      </c>
      <c r="C257" s="60">
        <f>IF(ISNA(VLOOKUP($J257,FM!$A:$J,4,FALSE)),0,VLOOKUP($J257,FM!$A:$J,4,FALSE))</f>
        <v>8603273.5199999996</v>
      </c>
      <c r="D257" s="60">
        <f>IF(ISNA(VLOOKUP($J257,FM!$A:$J,5,FALSE)),0,VLOOKUP($J257,FM!$A:$J,5,FALSE))</f>
        <v>0</v>
      </c>
      <c r="E257" s="60">
        <f>IF(ISNA(VLOOKUP($J257,FM!$A:$J,6,FALSE)),0,VLOOKUP($J257,FM!$A:$J,6,FALSE))</f>
        <v>0</v>
      </c>
      <c r="F257" s="60">
        <f>IF(ISNA(VLOOKUP($J257,FM!$A:$J,7,FALSE)),0,VLOOKUP($J257,FM!$A:$J,7,FALSE))</f>
        <v>0</v>
      </c>
      <c r="G257" s="60">
        <f t="shared" ref="G257:H262" si="66">B257+E257</f>
        <v>8763270.7599999998</v>
      </c>
      <c r="H257" s="60">
        <f t="shared" si="66"/>
        <v>8603273.5199999996</v>
      </c>
      <c r="I257" s="60">
        <f t="shared" ref="I257:I262" si="67">SUM(G257:H257)</f>
        <v>17366544.280000001</v>
      </c>
      <c r="J257" s="167" t="s">
        <v>781</v>
      </c>
    </row>
    <row r="258" spans="1:12" x14ac:dyDescent="0.3">
      <c r="A258" s="109" t="s">
        <v>274</v>
      </c>
      <c r="B258" s="60">
        <f>IF(ISNA(VLOOKUP($J258,FM!$A:$J,3,FALSE)),0,VLOOKUP($J258,FM!$A:$J,3,FALSE))</f>
        <v>-50329101.030000001</v>
      </c>
      <c r="C258" s="60">
        <f>IF(ISNA(VLOOKUP($J258,FM!$A:$J,4,FALSE)),0,VLOOKUP($J258,FM!$A:$J,4,FALSE))</f>
        <v>-3944520.87</v>
      </c>
      <c r="D258" s="60">
        <f>IF(ISNA(VLOOKUP($J258,FM!$A:$J,5,FALSE)),0,VLOOKUP($J258,FM!$A:$J,5,FALSE))</f>
        <v>-21666891</v>
      </c>
      <c r="E258" s="60">
        <f t="shared" ref="E258" si="68">ROUND($D258*K258,2)</f>
        <v>-14375982.18</v>
      </c>
      <c r="F258" s="60">
        <f t="shared" ref="F258" si="69">ROUND($D258*L258,2)</f>
        <v>-7290908.8200000003</v>
      </c>
      <c r="G258" s="60">
        <f t="shared" si="66"/>
        <v>-64705083.210000001</v>
      </c>
      <c r="H258" s="60">
        <f t="shared" si="66"/>
        <v>-11235429.690000001</v>
      </c>
      <c r="I258" s="60">
        <f t="shared" ref="I258" si="70">SUM(G258:H258)</f>
        <v>-75940512.900000006</v>
      </c>
      <c r="J258" s="167" t="s">
        <v>783</v>
      </c>
      <c r="K258" s="171">
        <f>+'Allocators (CBR)'!F49</f>
        <v>0.66349999999999998</v>
      </c>
      <c r="L258" s="171">
        <f>+'Allocators (CBR)'!G49</f>
        <v>0.33650000000000002</v>
      </c>
    </row>
    <row r="259" spans="1:12" x14ac:dyDescent="0.3">
      <c r="A259" s="109" t="s">
        <v>275</v>
      </c>
      <c r="B259" s="60">
        <f>IF(ISNA(VLOOKUP($J259,FM!$A:$J,3,FALSE)),0,VLOOKUP($J259,FM!$A:$J,3,FALSE))</f>
        <v>-755388.96</v>
      </c>
      <c r="C259" s="60">
        <f>IF(ISNA(VLOOKUP($J259,FM!$A:$J,4,FALSE)),0,VLOOKUP($J259,FM!$A:$J,4,FALSE))</f>
        <v>25985.040000000001</v>
      </c>
      <c r="D259" s="60">
        <f>IF(ISNA(VLOOKUP($J259,FM!$A:$J,5,FALSE)),0,VLOOKUP($J259,FM!$A:$J,5,FALSE))</f>
        <v>0</v>
      </c>
      <c r="E259" s="60">
        <f>IF(ISNA(VLOOKUP($J259,FM!$A:$J,6,FALSE)),0,VLOOKUP($J259,FM!$A:$J,6,FALSE))</f>
        <v>0</v>
      </c>
      <c r="F259" s="60">
        <f>IF(ISNA(VLOOKUP($J259,FM!$A:$J,7,FALSE)),0,VLOOKUP($J259,FM!$A:$J,7,FALSE))</f>
        <v>0</v>
      </c>
      <c r="G259" s="60">
        <f t="shared" si="66"/>
        <v>-755388.96</v>
      </c>
      <c r="H259" s="60">
        <f t="shared" si="66"/>
        <v>25985.040000000001</v>
      </c>
      <c r="I259" s="60">
        <f t="shared" si="67"/>
        <v>-729403.91999999993</v>
      </c>
      <c r="J259" s="167" t="s">
        <v>785</v>
      </c>
    </row>
    <row r="260" spans="1:12" x14ac:dyDescent="0.3">
      <c r="A260" s="109" t="s">
        <v>276</v>
      </c>
      <c r="B260" s="60">
        <f>IF(ISNA(VLOOKUP($J260,FM!$A:$J,3,FALSE)),0,VLOOKUP($J260,FM!$A:$J,3,FALSE))</f>
        <v>-8354.4</v>
      </c>
      <c r="C260" s="60">
        <f>IF(ISNA(VLOOKUP($J260,FM!$A:$J,4,FALSE)),0,VLOOKUP($J260,FM!$A:$J,4,FALSE))</f>
        <v>90321.36</v>
      </c>
      <c r="D260" s="60">
        <f>IF(ISNA(VLOOKUP($J260,FM!$A:$J,5,FALSE)),0,VLOOKUP($J260,FM!$A:$J,5,FALSE))</f>
        <v>0</v>
      </c>
      <c r="E260" s="60">
        <f>IF(ISNA(VLOOKUP($J260,FM!$A:$J,6,FALSE)),0,VLOOKUP($J260,FM!$A:$J,6,FALSE))</f>
        <v>0</v>
      </c>
      <c r="F260" s="60">
        <f>IF(ISNA(VLOOKUP($J260,FM!$A:$J,7,FALSE)),0,VLOOKUP($J260,FM!$A:$J,7,FALSE))</f>
        <v>0</v>
      </c>
      <c r="G260" s="60">
        <f t="shared" si="66"/>
        <v>-8354.4</v>
      </c>
      <c r="H260" s="60">
        <f t="shared" si="66"/>
        <v>90321.36</v>
      </c>
      <c r="I260" s="60">
        <f t="shared" si="67"/>
        <v>81966.960000000006</v>
      </c>
      <c r="J260" s="167" t="s">
        <v>787</v>
      </c>
    </row>
    <row r="261" spans="1:12" x14ac:dyDescent="0.3">
      <c r="A261" s="109" t="s">
        <v>277</v>
      </c>
      <c r="B261" s="60">
        <f>IF(ISNA(VLOOKUP($J261,FM!$A:$J,3,FALSE)),0,VLOOKUP($J261,FM!$A:$J,3,FALSE))</f>
        <v>-981.26</v>
      </c>
      <c r="C261" s="60">
        <f>IF(ISNA(VLOOKUP($J261,FM!$A:$J,4,FALSE)),0,VLOOKUP($J261,FM!$A:$J,4,FALSE))</f>
        <v>0</v>
      </c>
      <c r="D261" s="60">
        <f>IF(ISNA(VLOOKUP($J261,FM!$A:$J,5,FALSE)),0,VLOOKUP($J261,FM!$A:$J,5,FALSE))</f>
        <v>0</v>
      </c>
      <c r="E261" s="60">
        <f>IF(ISNA(VLOOKUP($J261,FM!$A:$J,6,FALSE)),0,VLOOKUP($J261,FM!$A:$J,6,FALSE))</f>
        <v>0</v>
      </c>
      <c r="F261" s="60">
        <f>IF(ISNA(VLOOKUP($J261,FM!$A:$J,7,FALSE)),0,VLOOKUP($J261,FM!$A:$J,7,FALSE))</f>
        <v>0</v>
      </c>
      <c r="G261" s="60">
        <f t="shared" si="66"/>
        <v>-981.26</v>
      </c>
      <c r="H261" s="60">
        <f t="shared" si="66"/>
        <v>0</v>
      </c>
      <c r="I261" s="60">
        <f t="shared" si="67"/>
        <v>-981.26</v>
      </c>
      <c r="J261" s="167" t="s">
        <v>789</v>
      </c>
    </row>
    <row r="262" spans="1:12" x14ac:dyDescent="0.3">
      <c r="A262" s="109" t="s">
        <v>278</v>
      </c>
      <c r="B262" s="163">
        <f>IF(ISNA(VLOOKUP($J262,FM!$A:$J,3,FALSE)),0,VLOOKUP($J262,FM!$A:$J,3,FALSE))</f>
        <v>0</v>
      </c>
      <c r="C262" s="163">
        <f>IF(ISNA(VLOOKUP($J262,FM!$A:$J,4,FALSE)),0,VLOOKUP($J262,FM!$A:$J,4,FALSE))</f>
        <v>0</v>
      </c>
      <c r="D262" s="163">
        <f>IF(ISNA(VLOOKUP($J262,FM!$A:$J,5,FALSE)),0,VLOOKUP($J262,FM!$A:$J,5,FALSE))</f>
        <v>0</v>
      </c>
      <c r="E262" s="163">
        <f>IF(ISNA(VLOOKUP($J262,FM!$A:$J,6,FALSE)),0,VLOOKUP($J262,FM!$A:$J,6,FALSE))</f>
        <v>0</v>
      </c>
      <c r="F262" s="163">
        <f>IF(ISNA(VLOOKUP($J262,FM!$A:$J,7,FALSE)),0,VLOOKUP($J262,FM!$A:$J,7,FALSE))</f>
        <v>0</v>
      </c>
      <c r="G262" s="163">
        <f t="shared" si="66"/>
        <v>0</v>
      </c>
      <c r="H262" s="163">
        <f t="shared" si="66"/>
        <v>0</v>
      </c>
      <c r="I262" s="163">
        <f t="shared" si="67"/>
        <v>0</v>
      </c>
      <c r="J262" s="106"/>
    </row>
    <row r="263" spans="1:12" x14ac:dyDescent="0.3">
      <c r="A263" s="109" t="s">
        <v>279</v>
      </c>
      <c r="B263" s="60">
        <f>SUM(B257:B262)</f>
        <v>-42330554.890000001</v>
      </c>
      <c r="C263" s="60">
        <f t="shared" ref="C263:I263" si="71">SUM(C257:C262)</f>
        <v>4775059.05</v>
      </c>
      <c r="D263" s="60">
        <f t="shared" si="71"/>
        <v>-21666891</v>
      </c>
      <c r="E263" s="60">
        <f t="shared" si="71"/>
        <v>-14375982.18</v>
      </c>
      <c r="F263" s="60">
        <f t="shared" si="71"/>
        <v>-7290908.8200000003</v>
      </c>
      <c r="G263" s="60">
        <f t="shared" si="71"/>
        <v>-56706537.07</v>
      </c>
      <c r="H263" s="60">
        <f t="shared" si="71"/>
        <v>-2515849.7700000019</v>
      </c>
      <c r="I263" s="60">
        <f t="shared" si="71"/>
        <v>-59222386.840000004</v>
      </c>
      <c r="J263" s="164" t="s">
        <v>780</v>
      </c>
    </row>
    <row r="264" spans="1:12" x14ac:dyDescent="0.3">
      <c r="A264" s="59" t="s">
        <v>280</v>
      </c>
      <c r="B264" s="60"/>
      <c r="C264" s="60"/>
      <c r="D264" s="60"/>
      <c r="E264" s="60"/>
      <c r="F264" s="60"/>
      <c r="G264" s="60"/>
      <c r="H264" s="60"/>
      <c r="I264" s="60"/>
      <c r="J264" s="106"/>
    </row>
    <row r="265" spans="1:12" x14ac:dyDescent="0.3">
      <c r="A265" s="109" t="s">
        <v>281</v>
      </c>
      <c r="B265" s="60">
        <f>IF(ISNA(VLOOKUP($J265,FM!$A:$J,3,FALSE)),0,VLOOKUP($J265,FM!$A:$J,3,FALSE))</f>
        <v>8884629.5999999996</v>
      </c>
      <c r="C265" s="60">
        <f>IF(ISNA(VLOOKUP($J265,FM!$A:$J,4,FALSE)),0,VLOOKUP($J265,FM!$A:$J,4,FALSE))</f>
        <v>0</v>
      </c>
      <c r="D265" s="60">
        <f>IF(ISNA(VLOOKUP($J265,FM!$A:$J,5,FALSE)),0,VLOOKUP($J265,FM!$A:$J,5,FALSE))</f>
        <v>0</v>
      </c>
      <c r="E265" s="60">
        <f>IF(ISNA(VLOOKUP($J265,FM!$A:$J,6,FALSE)),0,VLOOKUP($J265,FM!$A:$J,6,FALSE))</f>
        <v>0</v>
      </c>
      <c r="F265" s="60">
        <f>IF(ISNA(VLOOKUP($J265,FM!$A:$J,7,FALSE)),0,VLOOKUP($J265,FM!$A:$J,7,FALSE))</f>
        <v>0</v>
      </c>
      <c r="G265" s="60">
        <f t="shared" ref="G265:H266" si="72">B265+E265</f>
        <v>8884629.5999999996</v>
      </c>
      <c r="H265" s="60">
        <f t="shared" si="72"/>
        <v>0</v>
      </c>
      <c r="I265" s="60">
        <f t="shared" ref="I265:I266" si="73">SUM(G265:H265)</f>
        <v>8884629.5999999996</v>
      </c>
      <c r="J265" s="167" t="s">
        <v>793</v>
      </c>
    </row>
    <row r="266" spans="1:12" x14ac:dyDescent="0.3">
      <c r="A266" s="109" t="s">
        <v>282</v>
      </c>
      <c r="B266" s="163">
        <f>IF(ISNA(VLOOKUP($J266,FM!$A:$J,3,FALSE)),0,VLOOKUP($J266,FM!$A:$J,3,FALSE))</f>
        <v>-5310355.4400000004</v>
      </c>
      <c r="C266" s="163">
        <f>IF(ISNA(VLOOKUP($J266,FM!$A:$J,4,FALSE)),0,VLOOKUP($J266,FM!$A:$J,4,FALSE))</f>
        <v>0</v>
      </c>
      <c r="D266" s="163">
        <f>IF(ISNA(VLOOKUP($J266,FM!$A:$J,5,FALSE)),0,VLOOKUP($J266,FM!$A:$J,5,FALSE))</f>
        <v>0</v>
      </c>
      <c r="E266" s="163">
        <f>IF(ISNA(VLOOKUP($J266,FM!$A:$J,6,FALSE)),0,VLOOKUP($J266,FM!$A:$J,6,FALSE))</f>
        <v>0</v>
      </c>
      <c r="F266" s="163">
        <f>IF(ISNA(VLOOKUP($J266,FM!$A:$J,7,FALSE)),0,VLOOKUP($J266,FM!$A:$J,7,FALSE))</f>
        <v>0</v>
      </c>
      <c r="G266" s="163">
        <f t="shared" si="72"/>
        <v>-5310355.4400000004</v>
      </c>
      <c r="H266" s="163">
        <f t="shared" si="72"/>
        <v>0</v>
      </c>
      <c r="I266" s="163">
        <f t="shared" si="73"/>
        <v>-5310355.4400000004</v>
      </c>
      <c r="J266" s="167" t="s">
        <v>795</v>
      </c>
    </row>
    <row r="267" spans="1:12" x14ac:dyDescent="0.3">
      <c r="A267" s="109" t="s">
        <v>283</v>
      </c>
      <c r="B267" s="60">
        <f>SUM(B265:B266)</f>
        <v>3574274.1599999992</v>
      </c>
      <c r="C267" s="60">
        <f t="shared" ref="C267:I267" si="74">SUM(C265:C266)</f>
        <v>0</v>
      </c>
      <c r="D267" s="60">
        <f t="shared" si="74"/>
        <v>0</v>
      </c>
      <c r="E267" s="60">
        <f t="shared" si="74"/>
        <v>0</v>
      </c>
      <c r="F267" s="60">
        <f t="shared" si="74"/>
        <v>0</v>
      </c>
      <c r="G267" s="60">
        <f t="shared" si="74"/>
        <v>3574274.1599999992</v>
      </c>
      <c r="H267" s="60">
        <f t="shared" si="74"/>
        <v>0</v>
      </c>
      <c r="I267" s="60">
        <f t="shared" si="74"/>
        <v>3574274.1599999992</v>
      </c>
      <c r="J267" s="164" t="s">
        <v>791</v>
      </c>
    </row>
    <row r="268" spans="1:12" ht="15" thickBot="1" x14ac:dyDescent="0.35">
      <c r="A268" s="109" t="s">
        <v>284</v>
      </c>
      <c r="B268" s="173">
        <f>B247+B252+B255+B263+B267</f>
        <v>359197262.3900001</v>
      </c>
      <c r="C268" s="173">
        <f t="shared" ref="C268:I268" si="75">C247+C252+C255+C263+C267</f>
        <v>123916149.90000001</v>
      </c>
      <c r="D268" s="173">
        <f t="shared" si="75"/>
        <v>108058534.8</v>
      </c>
      <c r="E268" s="173">
        <f t="shared" si="75"/>
        <v>71696837.840000004</v>
      </c>
      <c r="F268" s="173">
        <f t="shared" si="75"/>
        <v>36361696.960000001</v>
      </c>
      <c r="G268" s="173">
        <f t="shared" si="75"/>
        <v>430894100.23000008</v>
      </c>
      <c r="H268" s="173">
        <f t="shared" si="75"/>
        <v>160277846.85999998</v>
      </c>
      <c r="I268" s="173">
        <f t="shared" si="75"/>
        <v>591171947.08999991</v>
      </c>
      <c r="J268" s="164" t="s">
        <v>758</v>
      </c>
    </row>
    <row r="269" spans="1:12" ht="15" thickTop="1" x14ac:dyDescent="0.3">
      <c r="A269" s="109" t="s">
        <v>285</v>
      </c>
      <c r="B269" s="174"/>
      <c r="C269" s="174"/>
      <c r="D269" s="174"/>
      <c r="E269" s="174"/>
      <c r="F269" s="174"/>
      <c r="G269" s="174"/>
      <c r="H269" s="174"/>
      <c r="I269" s="174"/>
      <c r="J269" s="106"/>
    </row>
    <row r="270" spans="1:12" x14ac:dyDescent="0.3">
      <c r="A270" s="59" t="s">
        <v>286</v>
      </c>
      <c r="B270" s="160"/>
      <c r="C270" s="160"/>
      <c r="D270" s="160"/>
      <c r="E270" s="160"/>
      <c r="F270" s="160"/>
      <c r="G270" s="160"/>
      <c r="H270" s="160"/>
      <c r="I270" s="160"/>
      <c r="J270" s="106"/>
    </row>
    <row r="271" spans="1:12" x14ac:dyDescent="0.3">
      <c r="A271" s="109" t="s">
        <v>287</v>
      </c>
      <c r="B271" s="163">
        <f>IF(ISNA(VLOOKUP($J271,FM!$A:$J,3,FALSE)),0,VLOOKUP($J271,FM!$A:$J,3,FALSE))</f>
        <v>228225816.19</v>
      </c>
      <c r="C271" s="163">
        <f>IF(ISNA(VLOOKUP($J271,FM!$A:$J,4,FALSE)),0,VLOOKUP($J271,FM!$A:$J,4,FALSE))</f>
        <v>96961906.310000002</v>
      </c>
      <c r="D271" s="163">
        <f>IF(ISNA(VLOOKUP($J271,FM!$A:$J,5,FALSE)),0,VLOOKUP($J271,FM!$A:$J,5,FALSE))</f>
        <v>6381188.3700000001</v>
      </c>
      <c r="E271" s="163">
        <f>ROUND($D271*K271,2)</f>
        <v>4233918.4800000004</v>
      </c>
      <c r="F271" s="163">
        <f>ROUND($D271*L271,2)</f>
        <v>2147269.89</v>
      </c>
      <c r="G271" s="163">
        <f t="shared" ref="G271:H271" si="76">B271+E271</f>
        <v>232459734.66999999</v>
      </c>
      <c r="H271" s="163">
        <f t="shared" si="76"/>
        <v>99109176.200000003</v>
      </c>
      <c r="I271" s="163">
        <f t="shared" ref="I271" si="77">SUM(G271:H271)</f>
        <v>331568910.87</v>
      </c>
      <c r="J271" s="162" t="s">
        <v>799</v>
      </c>
      <c r="K271" s="171">
        <f>+'Allocators (CBR)'!F49</f>
        <v>0.66349999999999998</v>
      </c>
      <c r="L271" s="171">
        <f>+'Allocators (CBR)'!G49</f>
        <v>0.33650000000000002</v>
      </c>
    </row>
    <row r="272" spans="1:12" x14ac:dyDescent="0.3">
      <c r="A272" s="109" t="s">
        <v>288</v>
      </c>
      <c r="B272" s="60">
        <f>SUM(B271)</f>
        <v>228225816.19</v>
      </c>
      <c r="C272" s="60">
        <f t="shared" ref="C272:I272" si="78">SUM(C271)</f>
        <v>96961906.310000002</v>
      </c>
      <c r="D272" s="60">
        <f t="shared" si="78"/>
        <v>6381188.3700000001</v>
      </c>
      <c r="E272" s="60">
        <f t="shared" si="78"/>
        <v>4233918.4800000004</v>
      </c>
      <c r="F272" s="60">
        <f t="shared" si="78"/>
        <v>2147269.89</v>
      </c>
      <c r="G272" s="60">
        <f>SUM(G271)</f>
        <v>232459734.66999999</v>
      </c>
      <c r="H272" s="60">
        <f t="shared" si="78"/>
        <v>99109176.200000003</v>
      </c>
      <c r="I272" s="60">
        <f t="shared" si="78"/>
        <v>331568910.87</v>
      </c>
      <c r="J272" s="164" t="s">
        <v>797</v>
      </c>
    </row>
    <row r="273" spans="1:12" x14ac:dyDescent="0.3">
      <c r="A273" s="59" t="s">
        <v>289</v>
      </c>
      <c r="B273" s="160"/>
      <c r="C273" s="160"/>
      <c r="D273" s="160"/>
      <c r="E273" s="160"/>
      <c r="F273" s="160"/>
      <c r="G273" s="160"/>
      <c r="H273" s="160"/>
      <c r="I273" s="160"/>
      <c r="J273" s="106"/>
    </row>
    <row r="274" spans="1:12" x14ac:dyDescent="0.3">
      <c r="A274" s="109"/>
      <c r="B274" s="60"/>
      <c r="C274" s="60"/>
      <c r="D274" s="60"/>
      <c r="E274" s="60"/>
      <c r="F274" s="60"/>
      <c r="G274" s="60"/>
      <c r="H274" s="60"/>
      <c r="I274" s="60"/>
      <c r="J274" s="162"/>
    </row>
    <row r="275" spans="1:12" x14ac:dyDescent="0.3">
      <c r="A275" s="109" t="s">
        <v>290</v>
      </c>
      <c r="B275" s="60">
        <f>IF(ISNA(VLOOKUP($J275,FM!$A:$J,3,FALSE)),0,VLOOKUP($J275,FM!$A:$J,3,FALSE))</f>
        <v>570873.64</v>
      </c>
      <c r="C275" s="60">
        <f>IF(ISNA(VLOOKUP($J275,FM!$A:$J,4,FALSE)),0,VLOOKUP($J275,FM!$A:$J,4,FALSE))</f>
        <v>0</v>
      </c>
      <c r="D275" s="60">
        <f>IF(ISNA(VLOOKUP($J275,FM!$A:$J,5,FALSE)),0,VLOOKUP($J275,FM!$A:$J,5,FALSE))</f>
        <v>0</v>
      </c>
      <c r="E275" s="60">
        <f>IF(ISNA(VLOOKUP($J275,FM!$A:$J,6,FALSE)),0,VLOOKUP($J275,FM!$A:$J,6,FALSE))</f>
        <v>0</v>
      </c>
      <c r="F275" s="60">
        <f>IF(ISNA(VLOOKUP($J275,FM!$A:$J,7,FALSE)),0,VLOOKUP($J275,FM!$A:$J,7,FALSE))</f>
        <v>0</v>
      </c>
      <c r="G275" s="60">
        <f t="shared" ref="G275:H276" si="79">B275+E275</f>
        <v>570873.64</v>
      </c>
      <c r="H275" s="60">
        <f t="shared" si="79"/>
        <v>0</v>
      </c>
      <c r="I275" s="60">
        <f t="shared" ref="I275:I276" si="80">SUM(G275:H275)</f>
        <v>570873.64</v>
      </c>
      <c r="J275" s="162" t="s">
        <v>897</v>
      </c>
    </row>
    <row r="276" spans="1:12" x14ac:dyDescent="0.3">
      <c r="A276" s="109" t="s">
        <v>290</v>
      </c>
      <c r="B276" s="163">
        <f>IF(ISNA(VLOOKUP($J276,FM!$A:$J,3,FALSE)),0,VLOOKUP($J276,FM!$A:$J,3,FALSE))</f>
        <v>30838205.760000002</v>
      </c>
      <c r="C276" s="163">
        <f>IF(ISNA(VLOOKUP($J276,FM!$A:$J,4,FALSE)),0,VLOOKUP($J276,FM!$A:$J,4,FALSE))</f>
        <v>33388225.969999999</v>
      </c>
      <c r="D276" s="163">
        <f>IF(ISNA(VLOOKUP($J276,FM!$A:$J,5,FALSE)),0,VLOOKUP($J276,FM!$A:$J,5,FALSE))</f>
        <v>0</v>
      </c>
      <c r="E276" s="163">
        <f>IF(ISNA(VLOOKUP($J276,FM!$A:$J,6,FALSE)),0,VLOOKUP($J276,FM!$A:$J,6,FALSE))</f>
        <v>0</v>
      </c>
      <c r="F276" s="163">
        <f>IF(ISNA(VLOOKUP($J276,FM!$A:$J,7,FALSE)),0,VLOOKUP($J276,FM!$A:$J,7,FALSE))</f>
        <v>0</v>
      </c>
      <c r="G276" s="163">
        <f t="shared" si="79"/>
        <v>30838205.760000002</v>
      </c>
      <c r="H276" s="163">
        <f t="shared" si="79"/>
        <v>33388225.969999999</v>
      </c>
      <c r="I276" s="163">
        <f t="shared" si="80"/>
        <v>64226431.730000004</v>
      </c>
      <c r="J276" s="162" t="s">
        <v>803</v>
      </c>
    </row>
    <row r="277" spans="1:12" x14ac:dyDescent="0.3">
      <c r="A277" s="109" t="s">
        <v>291</v>
      </c>
      <c r="B277" s="60">
        <f>SUM(B274:B276)</f>
        <v>31409079.400000002</v>
      </c>
      <c r="C277" s="60">
        <f t="shared" ref="C277:H277" si="81">SUM(C274:C276)</f>
        <v>33388225.969999999</v>
      </c>
      <c r="D277" s="60">
        <f t="shared" si="81"/>
        <v>0</v>
      </c>
      <c r="E277" s="60">
        <f t="shared" si="81"/>
        <v>0</v>
      </c>
      <c r="F277" s="60">
        <f t="shared" si="81"/>
        <v>0</v>
      </c>
      <c r="G277" s="60">
        <f t="shared" si="81"/>
        <v>31409079.400000002</v>
      </c>
      <c r="H277" s="60">
        <f t="shared" si="81"/>
        <v>33388225.969999999</v>
      </c>
      <c r="I277" s="60">
        <f>SUM(I274:I276)</f>
        <v>64797305.370000005</v>
      </c>
      <c r="J277" s="164" t="s">
        <v>801</v>
      </c>
    </row>
    <row r="278" spans="1:12" x14ac:dyDescent="0.3">
      <c r="A278" s="59" t="s">
        <v>292</v>
      </c>
      <c r="B278" s="160"/>
      <c r="C278" s="160"/>
      <c r="D278" s="160"/>
      <c r="E278" s="160"/>
      <c r="F278" s="160"/>
      <c r="G278" s="160"/>
      <c r="H278" s="160"/>
      <c r="I278" s="160"/>
      <c r="J278" s="106"/>
    </row>
    <row r="279" spans="1:12" x14ac:dyDescent="0.3">
      <c r="A279" s="109" t="s">
        <v>293</v>
      </c>
      <c r="B279" s="60">
        <f>IF(ISNA(VLOOKUP($J279,FM!$A:$J,3,FALSE)),0,VLOOKUP($J279,FM!$A:$J,3,FALSE))</f>
        <v>219283109.16</v>
      </c>
      <c r="C279" s="60">
        <f>IF(ISNA(VLOOKUP($J279,FM!$A:$J,4,FALSE)),0,VLOOKUP($J279,FM!$A:$J,4,FALSE))</f>
        <v>42754186.710000001</v>
      </c>
      <c r="D279" s="60">
        <f>IF(ISNA(VLOOKUP($J279,FM!$A:$J,5,FALSE)),0,VLOOKUP($J279,FM!$A:$J,5,FALSE))</f>
        <v>0</v>
      </c>
      <c r="E279" s="60">
        <f t="shared" ref="E279:E280" si="82">ROUND($D279*K279,2)</f>
        <v>0</v>
      </c>
      <c r="F279" s="60">
        <f t="shared" ref="F279:F280" si="83">ROUND($D279*L279,2)</f>
        <v>0</v>
      </c>
      <c r="G279" s="60">
        <f t="shared" ref="G279:H281" si="84">B279+E279</f>
        <v>219283109.16</v>
      </c>
      <c r="H279" s="60">
        <f t="shared" si="84"/>
        <v>42754186.710000001</v>
      </c>
      <c r="I279" s="60">
        <f t="shared" ref="I279:I281" si="85">SUM(G279:H279)</f>
        <v>262037295.87</v>
      </c>
      <c r="J279" s="162" t="s">
        <v>806</v>
      </c>
      <c r="K279" s="171">
        <f>+'Allocators (CBR)'!F58</f>
        <v>0.66349999999999998</v>
      </c>
      <c r="L279" s="171">
        <f>+'Allocators (CBR)'!G58</f>
        <v>0.33650000000000002</v>
      </c>
    </row>
    <row r="280" spans="1:12" x14ac:dyDescent="0.3">
      <c r="A280" s="109" t="s">
        <v>294</v>
      </c>
      <c r="B280" s="60">
        <f>IF(ISNA(VLOOKUP($J280,FM!$A:$J,3,FALSE)),0,VLOOKUP($J280,FM!$A:$J,3,FALSE))</f>
        <v>-190762693.97999999</v>
      </c>
      <c r="C280" s="60">
        <f>IF(ISNA(VLOOKUP($J280,FM!$A:$J,4,FALSE)),0,VLOOKUP($J280,FM!$A:$J,4,FALSE))</f>
        <v>-49135398.689999998</v>
      </c>
      <c r="D280" s="60">
        <f>IF(ISNA(VLOOKUP($J280,FM!$A:$J,5,FALSE)),0,VLOOKUP($J280,FM!$A:$J,5,FALSE))</f>
        <v>0</v>
      </c>
      <c r="E280" s="60">
        <f t="shared" si="82"/>
        <v>0</v>
      </c>
      <c r="F280" s="60">
        <f t="shared" si="83"/>
        <v>0</v>
      </c>
      <c r="G280" s="60">
        <f t="shared" si="84"/>
        <v>-190762693.97999999</v>
      </c>
      <c r="H280" s="60">
        <f t="shared" si="84"/>
        <v>-49135398.689999998</v>
      </c>
      <c r="I280" s="60">
        <f t="shared" si="85"/>
        <v>-239898092.66999999</v>
      </c>
      <c r="J280" s="162" t="s">
        <v>808</v>
      </c>
      <c r="K280" s="171">
        <f>+'Allocators (CBR)'!F59</f>
        <v>0.66349999999999998</v>
      </c>
      <c r="L280" s="171">
        <f>+'Allocators (CBR)'!G59</f>
        <v>0.33650000000000002</v>
      </c>
    </row>
    <row r="281" spans="1:12" x14ac:dyDescent="0.3">
      <c r="A281" s="109" t="s">
        <v>295</v>
      </c>
      <c r="B281" s="163">
        <f>IF(ISNA(VLOOKUP($J281,FM!$A:$J,3,FALSE)),0,VLOOKUP($J281,FM!$A:$J,3,FALSE))</f>
        <v>0</v>
      </c>
      <c r="C281" s="163">
        <f>IF(ISNA(VLOOKUP($J281,FM!$A:$J,4,FALSE)),0,VLOOKUP($J281,FM!$A:$J,4,FALSE))</f>
        <v>0</v>
      </c>
      <c r="D281" s="163">
        <f>IF(ISNA(VLOOKUP($J281,FM!$A:$J,5,FALSE)),0,VLOOKUP($J281,FM!$A:$J,5,FALSE))</f>
        <v>0</v>
      </c>
      <c r="E281" s="163">
        <f>IF(ISNA(VLOOKUP($J281,FM!$A:$J,6,FALSE)),0,VLOOKUP($J281,FM!$A:$J,6,FALSE))</f>
        <v>0</v>
      </c>
      <c r="F281" s="163">
        <f>IF(ISNA(VLOOKUP($J281,FM!$A:$J,7,FALSE)),0,VLOOKUP($J281,FM!$A:$J,7,FALSE))</f>
        <v>0</v>
      </c>
      <c r="G281" s="163">
        <f t="shared" si="84"/>
        <v>0</v>
      </c>
      <c r="H281" s="163">
        <f t="shared" si="84"/>
        <v>0</v>
      </c>
      <c r="I281" s="163">
        <f t="shared" si="85"/>
        <v>0</v>
      </c>
      <c r="J281" s="162" t="s">
        <v>898</v>
      </c>
    </row>
    <row r="282" spans="1:12" x14ac:dyDescent="0.3">
      <c r="A282" s="109" t="s">
        <v>296</v>
      </c>
      <c r="B282" s="60">
        <f>SUM(B279:B281)</f>
        <v>28520415.180000007</v>
      </c>
      <c r="C282" s="60">
        <f t="shared" ref="C282:I282" si="86">SUM(C279:C281)</f>
        <v>-6381211.9799999967</v>
      </c>
      <c r="D282" s="60">
        <f t="shared" si="86"/>
        <v>0</v>
      </c>
      <c r="E282" s="60">
        <f t="shared" si="86"/>
        <v>0</v>
      </c>
      <c r="F282" s="60">
        <f t="shared" si="86"/>
        <v>0</v>
      </c>
      <c r="G282" s="60">
        <f t="shared" si="86"/>
        <v>28520415.180000007</v>
      </c>
      <c r="H282" s="60">
        <f t="shared" si="86"/>
        <v>-6381211.9799999967</v>
      </c>
      <c r="I282" s="60">
        <f t="shared" si="86"/>
        <v>22139203.200000018</v>
      </c>
      <c r="J282" s="164" t="s">
        <v>804</v>
      </c>
    </row>
    <row r="283" spans="1:12" x14ac:dyDescent="0.3">
      <c r="A283" s="158"/>
      <c r="B283" s="163"/>
      <c r="C283" s="163"/>
      <c r="D283" s="163"/>
      <c r="E283" s="163"/>
      <c r="F283" s="163"/>
      <c r="G283" s="163"/>
      <c r="H283" s="163"/>
      <c r="I283" s="163"/>
      <c r="J283" s="106"/>
    </row>
    <row r="284" spans="1:12" ht="15" thickBot="1" x14ac:dyDescent="0.35">
      <c r="A284" s="108" t="s">
        <v>6</v>
      </c>
      <c r="B284" s="170">
        <f>B65-B241-B268-B272-B277-B282</f>
        <v>523557625.88000029</v>
      </c>
      <c r="C284" s="170">
        <f>C65-C241-C268-C272-C277-C282</f>
        <v>225854433.4600001</v>
      </c>
      <c r="D284" s="170">
        <f t="shared" ref="D284:I284" si="87">D65-D241-D268-D272-D277-D282</f>
        <v>-287126090.92000002</v>
      </c>
      <c r="E284" s="170">
        <f t="shared" si="87"/>
        <v>-187218966.36999997</v>
      </c>
      <c r="F284" s="170">
        <f t="shared" si="87"/>
        <v>-99907124.549999997</v>
      </c>
      <c r="G284" s="170">
        <f t="shared" si="87"/>
        <v>336338659.51000053</v>
      </c>
      <c r="H284" s="170">
        <f t="shared" si="87"/>
        <v>125947308.91000003</v>
      </c>
      <c r="I284" s="170">
        <f t="shared" si="87"/>
        <v>462285968.4199996</v>
      </c>
      <c r="J284" s="164" t="s">
        <v>423</v>
      </c>
    </row>
    <row r="285" spans="1:12" ht="15" thickTop="1" x14ac:dyDescent="0.3">
      <c r="A285" s="158"/>
      <c r="B285" s="160"/>
      <c r="C285" s="160"/>
      <c r="D285" s="160"/>
      <c r="E285" s="160"/>
      <c r="F285" s="160"/>
      <c r="G285" s="160"/>
      <c r="H285" s="160"/>
      <c r="I285" s="160"/>
      <c r="J285" s="106"/>
    </row>
    <row r="286" spans="1:12" x14ac:dyDescent="0.3">
      <c r="A286" s="108" t="s">
        <v>5</v>
      </c>
      <c r="B286" s="160"/>
      <c r="C286" s="160"/>
      <c r="D286" s="160"/>
      <c r="E286" s="160"/>
      <c r="F286" s="160"/>
      <c r="G286" s="160"/>
      <c r="H286" s="160"/>
      <c r="I286" s="160"/>
      <c r="J286" s="106"/>
    </row>
    <row r="287" spans="1:12" x14ac:dyDescent="0.3">
      <c r="A287" s="59" t="s">
        <v>297</v>
      </c>
      <c r="B287" s="160"/>
      <c r="C287" s="160"/>
      <c r="D287" s="160"/>
      <c r="E287" s="160"/>
      <c r="F287" s="160"/>
      <c r="G287" s="160"/>
      <c r="H287" s="160"/>
      <c r="I287" s="160"/>
      <c r="J287" s="106"/>
    </row>
    <row r="288" spans="1:12" x14ac:dyDescent="0.3">
      <c r="A288" s="109" t="s">
        <v>298</v>
      </c>
      <c r="B288" s="60">
        <f>IF(ISNA(VLOOKUP($J288,FM!$A:$J,3,FALSE)),0,VLOOKUP($J288,FM!$A:$J,3,FALSE))</f>
        <v>640721.18000000005</v>
      </c>
      <c r="C288" s="60">
        <f>IF(ISNA(VLOOKUP($J288,FM!$A:$J,4,FALSE)),0,VLOOKUP($J288,FM!$A:$J,4,FALSE))</f>
        <v>0</v>
      </c>
      <c r="D288" s="60">
        <f>IF(ISNA(VLOOKUP($J288,FM!$A:$J,5,FALSE)),0,VLOOKUP($J288,FM!$A:$J,5,FALSE))</f>
        <v>1016.67</v>
      </c>
      <c r="E288" s="60">
        <f>IF(ISNA(VLOOKUP($J288,FM!$A:$J,6,FALSE)),0,VLOOKUP($J288,FM!$A:$J,6,FALSE))</f>
        <v>672.93</v>
      </c>
      <c r="F288" s="60">
        <f>IF(ISNA(VLOOKUP($J288,FM!$A:$J,7,FALSE)),0,VLOOKUP($J288,FM!$A:$J,7,FALSE))</f>
        <v>343.74</v>
      </c>
      <c r="G288" s="60">
        <f t="shared" ref="G288:H311" si="88">B288+E288</f>
        <v>641394.1100000001</v>
      </c>
      <c r="H288" s="60">
        <f t="shared" si="88"/>
        <v>343.74</v>
      </c>
      <c r="I288" s="60">
        <f t="shared" ref="I288:I310" si="89">SUM(G288:H288)</f>
        <v>641737.85000000009</v>
      </c>
      <c r="J288" s="111" t="s">
        <v>814</v>
      </c>
    </row>
    <row r="289" spans="1:10" x14ac:dyDescent="0.3">
      <c r="A289" s="109" t="s">
        <v>299</v>
      </c>
      <c r="B289" s="60">
        <f>IFERROR(SUMIF(FM!$A:$A,'Unallocated Detail (CBR)'!$J289,FM!C:C),0)</f>
        <v>0</v>
      </c>
      <c r="C289" s="60">
        <f>IFERROR(SUMIF(FM!$A:$A,'Unallocated Detail (CBR)'!$J289,FM!D:D),0)</f>
        <v>0</v>
      </c>
      <c r="D289" s="60">
        <f>IFERROR(SUMIF(FM!$A:$A,'Unallocated Detail (CBR)'!$J289,FM!E:E),0)</f>
        <v>-46133494.130000003</v>
      </c>
      <c r="E289" s="60">
        <f>IFERROR(SUMIF(FM!$A:$A,'Unallocated Detail (CBR)'!$J289,FM!F:F),0)</f>
        <v>-30535759.779999997</v>
      </c>
      <c r="F289" s="60">
        <f>IFERROR(SUMIF(FM!$A:$A,'Unallocated Detail (CBR)'!$J289,FM!G:G),0)</f>
        <v>-15597734.35</v>
      </c>
      <c r="G289" s="60">
        <f t="shared" si="88"/>
        <v>-30535759.779999997</v>
      </c>
      <c r="H289" s="60">
        <f t="shared" si="88"/>
        <v>-15597734.35</v>
      </c>
      <c r="I289" s="60">
        <f t="shared" ref="I289:I290" si="90">SUM(G289:H289)</f>
        <v>-46133494.129999995</v>
      </c>
      <c r="J289" s="111" t="s">
        <v>816</v>
      </c>
    </row>
    <row r="290" spans="1:10" x14ac:dyDescent="0.3">
      <c r="A290" s="109" t="s">
        <v>300</v>
      </c>
      <c r="B290" s="60">
        <f>IFERROR(SUMIF(FM!$A:$A,'Unallocated Detail (CBR)'!$J290,FM!C:C),0)</f>
        <v>0</v>
      </c>
      <c r="C290" s="60">
        <f>IFERROR(SUMIF(FM!$A:$A,'Unallocated Detail (CBR)'!$J290,FM!D:D),0)</f>
        <v>0</v>
      </c>
      <c r="D290" s="60">
        <f>IFERROR(SUMIF(FM!$A:$A,'Unallocated Detail (CBR)'!$J290,FM!E:E),0)</f>
        <v>-1512292.86</v>
      </c>
      <c r="E290" s="60">
        <f>IFERROR(SUMIF(FM!$A:$A,'Unallocated Detail (CBR)'!$J290,FM!F:F),0)</f>
        <v>-1000986.65</v>
      </c>
      <c r="F290" s="60">
        <f>IFERROR(SUMIF(FM!$A:$A,'Unallocated Detail (CBR)'!$J290,FM!G:G),0)</f>
        <v>-511306.21</v>
      </c>
      <c r="G290" s="60">
        <f t="shared" si="88"/>
        <v>-1000986.65</v>
      </c>
      <c r="H290" s="60">
        <f t="shared" si="88"/>
        <v>-511306.21</v>
      </c>
      <c r="I290" s="60">
        <f t="shared" si="90"/>
        <v>-1512292.86</v>
      </c>
      <c r="J290" s="111" t="s">
        <v>818</v>
      </c>
    </row>
    <row r="291" spans="1:10" x14ac:dyDescent="0.3">
      <c r="A291" s="109" t="s">
        <v>301</v>
      </c>
      <c r="B291" s="60">
        <f>IF(ISNA(VLOOKUP($J291,FM!$A:$J,3,FALSE)),0,VLOOKUP($J291,FM!$A:$J,3,FALSE))</f>
        <v>0</v>
      </c>
      <c r="C291" s="60">
        <f>IF(ISNA(VLOOKUP($J291,FM!$A:$J,4,FALSE)),0,VLOOKUP($J291,FM!$A:$J,4,FALSE))</f>
        <v>0</v>
      </c>
      <c r="D291" s="60">
        <f>IF(ISNA(VLOOKUP($J291,FM!$A:$J,5,FALSE)),0,VLOOKUP($J291,FM!$A:$J,5,FALSE))</f>
        <v>0</v>
      </c>
      <c r="E291" s="60">
        <f>IF(ISNA(VLOOKUP($J291,FM!$A:$J,6,FALSE)),0,VLOOKUP($J291,FM!$A:$J,6,FALSE))</f>
        <v>0</v>
      </c>
      <c r="F291" s="60">
        <f>IF(ISNA(VLOOKUP($J291,FM!$A:$J,7,FALSE)),0,VLOOKUP($J291,FM!$A:$J,7,FALSE))</f>
        <v>0</v>
      </c>
      <c r="G291" s="60">
        <f t="shared" si="88"/>
        <v>0</v>
      </c>
      <c r="H291" s="60">
        <f t="shared" si="88"/>
        <v>0</v>
      </c>
      <c r="I291" s="60">
        <f t="shared" si="89"/>
        <v>0</v>
      </c>
      <c r="J291" s="111" t="s">
        <v>899</v>
      </c>
    </row>
    <row r="292" spans="1:10" x14ac:dyDescent="0.3">
      <c r="A292" s="109" t="s">
        <v>302</v>
      </c>
      <c r="B292" s="60">
        <f>IF(ISNA(VLOOKUP($J292,FM!$A:$J,3,FALSE)),0,VLOOKUP($J292,FM!$A:$J,3,FALSE))</f>
        <v>0</v>
      </c>
      <c r="C292" s="60">
        <f>IF(ISNA(VLOOKUP($J292,FM!$A:$J,4,FALSE)),0,VLOOKUP($J292,FM!$A:$J,4,FALSE))</f>
        <v>0</v>
      </c>
      <c r="D292" s="60">
        <f>IF(ISNA(VLOOKUP($J292,FM!$A:$J,5,FALSE)),0,VLOOKUP($J292,FM!$A:$J,5,FALSE))</f>
        <v>-1149127.58</v>
      </c>
      <c r="E292" s="60">
        <f>IF(ISNA(VLOOKUP($J292,FM!$A:$J,6,FALSE)),0,VLOOKUP($J292,FM!$A:$J,6,FALSE))</f>
        <v>-760607.55</v>
      </c>
      <c r="F292" s="60">
        <f>IF(ISNA(VLOOKUP($J292,FM!$A:$J,7,FALSE)),0,VLOOKUP($J292,FM!$A:$J,7,FALSE))</f>
        <v>-388520.03</v>
      </c>
      <c r="G292" s="60">
        <f t="shared" si="88"/>
        <v>-760607.55</v>
      </c>
      <c r="H292" s="60">
        <f t="shared" si="88"/>
        <v>-388520.03</v>
      </c>
      <c r="I292" s="60">
        <f t="shared" si="89"/>
        <v>-1149127.58</v>
      </c>
      <c r="J292" s="111" t="s">
        <v>820</v>
      </c>
    </row>
    <row r="293" spans="1:10" x14ac:dyDescent="0.3">
      <c r="A293" s="109" t="s">
        <v>303</v>
      </c>
      <c r="B293" s="60">
        <f>IF(ISNA(VLOOKUP($J293,FM!$A:$J,3,FALSE)),0,VLOOKUP($J293,FM!$A:$J,3,FALSE))</f>
        <v>0</v>
      </c>
      <c r="C293" s="60">
        <f>IF(ISNA(VLOOKUP($J293,FM!$A:$J,4,FALSE)),0,VLOOKUP($J293,FM!$A:$J,4,FALSE))</f>
        <v>0</v>
      </c>
      <c r="D293" s="60">
        <f>IF(ISNA(VLOOKUP($J293,FM!$A:$J,5,FALSE)),0,VLOOKUP($J293,FM!$A:$J,5,FALSE))</f>
        <v>379839.84</v>
      </c>
      <c r="E293" s="60">
        <f>IF(ISNA(VLOOKUP($J293,FM!$A:$J,6,FALSE)),0,VLOOKUP($J293,FM!$A:$J,6,FALSE))</f>
        <v>251416.09</v>
      </c>
      <c r="F293" s="60">
        <f>IF(ISNA(VLOOKUP($J293,FM!$A:$J,7,FALSE)),0,VLOOKUP($J293,FM!$A:$J,7,FALSE))</f>
        <v>128423.75</v>
      </c>
      <c r="G293" s="60">
        <f t="shared" si="88"/>
        <v>251416.09</v>
      </c>
      <c r="H293" s="60">
        <f t="shared" si="88"/>
        <v>128423.75</v>
      </c>
      <c r="I293" s="60">
        <f t="shared" si="89"/>
        <v>379839.83999999997</v>
      </c>
      <c r="J293" s="111" t="s">
        <v>822</v>
      </c>
    </row>
    <row r="294" spans="1:10" x14ac:dyDescent="0.3">
      <c r="A294" s="109" t="s">
        <v>304</v>
      </c>
      <c r="B294" s="60">
        <f>IF(ISNA(VLOOKUP($J294,FM!$A:$J,3,FALSE)),0,VLOOKUP($J294,FM!$A:$J,3,FALSE))</f>
        <v>0</v>
      </c>
      <c r="C294" s="60">
        <f>IF(ISNA(VLOOKUP($J294,FM!$A:$J,4,FALSE)),0,VLOOKUP($J294,FM!$A:$J,4,FALSE))</f>
        <v>0</v>
      </c>
      <c r="D294" s="60">
        <f>IF(ISNA(VLOOKUP($J294,FM!$A:$J,5,FALSE)),0,VLOOKUP($J294,FM!$A:$J,5,FALSE))</f>
        <v>-27564187.170000002</v>
      </c>
      <c r="E294" s="60">
        <f>IF(ISNA(VLOOKUP($J294,FM!$A:$J,6,FALSE)),0,VLOOKUP($J294,FM!$A:$J,6,FALSE))</f>
        <v>-18244735.469999999</v>
      </c>
      <c r="F294" s="60">
        <f>IF(ISNA(VLOOKUP($J294,FM!$A:$J,7,FALSE)),0,VLOOKUP($J294,FM!$A:$J,7,FALSE))</f>
        <v>-9319451.6999999993</v>
      </c>
      <c r="G294" s="60">
        <f t="shared" si="88"/>
        <v>-18244735.469999999</v>
      </c>
      <c r="H294" s="60">
        <f t="shared" si="88"/>
        <v>-9319451.6999999993</v>
      </c>
      <c r="I294" s="60">
        <f t="shared" si="89"/>
        <v>-27564187.169999998</v>
      </c>
      <c r="J294" s="111" t="s">
        <v>824</v>
      </c>
    </row>
    <row r="295" spans="1:10" x14ac:dyDescent="0.3">
      <c r="A295" s="109" t="s">
        <v>305</v>
      </c>
      <c r="B295" s="60">
        <f>IF(ISNA(VLOOKUP($J295,FM!$A:$J,3,FALSE)),0,VLOOKUP($J295,FM!$A:$J,3,FALSE))</f>
        <v>0</v>
      </c>
      <c r="C295" s="60">
        <f>IF(ISNA(VLOOKUP($J295,FM!$A:$J,4,FALSE)),0,VLOOKUP($J295,FM!$A:$J,4,FALSE))</f>
        <v>0</v>
      </c>
      <c r="D295" s="60">
        <f>IF(ISNA(VLOOKUP($J295,FM!$A:$J,5,FALSE)),0,VLOOKUP($J295,FM!$A:$J,5,FALSE))</f>
        <v>0</v>
      </c>
      <c r="E295" s="60">
        <f>IF(ISNA(VLOOKUP($J295,FM!$A:$J,6,FALSE)),0,VLOOKUP($J295,FM!$A:$J,6,FALSE))</f>
        <v>0</v>
      </c>
      <c r="F295" s="60">
        <f>IF(ISNA(VLOOKUP($J295,FM!$A:$J,7,FALSE)),0,VLOOKUP($J295,FM!$A:$J,7,FALSE))</f>
        <v>0</v>
      </c>
      <c r="G295" s="60">
        <f t="shared" si="88"/>
        <v>0</v>
      </c>
      <c r="H295" s="60">
        <f t="shared" si="88"/>
        <v>0</v>
      </c>
      <c r="I295" s="60">
        <f t="shared" si="89"/>
        <v>0</v>
      </c>
      <c r="J295" s="111"/>
    </row>
    <row r="296" spans="1:10" x14ac:dyDescent="0.3">
      <c r="A296" s="109" t="s">
        <v>306</v>
      </c>
      <c r="B296" s="60">
        <f>IF(ISNA(VLOOKUP($J296,FM!$A:$J,3,FALSE)),0,VLOOKUP($J296,FM!$A:$J,3,FALSE))</f>
        <v>0</v>
      </c>
      <c r="C296" s="60">
        <f>IF(ISNA(VLOOKUP($J296,FM!$A:$J,4,FALSE)),0,VLOOKUP($J296,FM!$A:$J,4,FALSE))</f>
        <v>0</v>
      </c>
      <c r="D296" s="60">
        <f>IF(ISNA(VLOOKUP($J296,FM!$A:$J,5,FALSE)),0,VLOOKUP($J296,FM!$A:$J,5,FALSE))</f>
        <v>40474706.07</v>
      </c>
      <c r="E296" s="60">
        <f>IF(ISNA(VLOOKUP($J296,FM!$A:$J,6,FALSE)),0,VLOOKUP($J296,FM!$A:$J,6,FALSE))</f>
        <v>26790208</v>
      </c>
      <c r="F296" s="60">
        <f>IF(ISNA(VLOOKUP($J296,FM!$A:$J,7,FALSE)),0,VLOOKUP($J296,FM!$A:$J,7,FALSE))</f>
        <v>13684498.07</v>
      </c>
      <c r="G296" s="60">
        <f t="shared" si="88"/>
        <v>26790208</v>
      </c>
      <c r="H296" s="60">
        <f t="shared" si="88"/>
        <v>13684498.07</v>
      </c>
      <c r="I296" s="60">
        <f t="shared" si="89"/>
        <v>40474706.07</v>
      </c>
      <c r="J296" s="111" t="s">
        <v>826</v>
      </c>
    </row>
    <row r="297" spans="1:10" x14ac:dyDescent="0.3">
      <c r="A297" s="109" t="s">
        <v>307</v>
      </c>
      <c r="B297" s="60">
        <f>IF(ISNA(VLOOKUP($J297,FM!$A:$J,3,FALSE)),0,VLOOKUP($J297,FM!$A:$J,3,FALSE))</f>
        <v>0</v>
      </c>
      <c r="C297" s="60">
        <f>IF(ISNA(VLOOKUP($J297,FM!$A:$J,4,FALSE)),0,VLOOKUP($J297,FM!$A:$J,4,FALSE))</f>
        <v>0</v>
      </c>
      <c r="D297" s="60">
        <f>IF(ISNA(VLOOKUP($J297,FM!$A:$J,5,FALSE)),0,VLOOKUP($J297,FM!$A:$J,5,FALSE))</f>
        <v>-47471.7</v>
      </c>
      <c r="E297" s="60">
        <f>IF(ISNA(VLOOKUP($J297,FM!$A:$J,6,FALSE)),0,VLOOKUP($J297,FM!$A:$J,6,FALSE))</f>
        <v>-31421.53</v>
      </c>
      <c r="F297" s="60">
        <f>IF(ISNA(VLOOKUP($J297,FM!$A:$J,7,FALSE)),0,VLOOKUP($J297,FM!$A:$J,7,FALSE))</f>
        <v>-16050.17</v>
      </c>
      <c r="G297" s="60">
        <f t="shared" si="88"/>
        <v>-31421.53</v>
      </c>
      <c r="H297" s="60">
        <f t="shared" si="88"/>
        <v>-16050.17</v>
      </c>
      <c r="I297" s="60">
        <f t="shared" si="89"/>
        <v>-47471.7</v>
      </c>
      <c r="J297" s="111" t="s">
        <v>828</v>
      </c>
    </row>
    <row r="298" spans="1:10" x14ac:dyDescent="0.3">
      <c r="A298" s="109" t="s">
        <v>308</v>
      </c>
      <c r="B298" s="60">
        <f>IF(ISNA(VLOOKUP($J298,FM!$A:$J,3,FALSE)),0,VLOOKUP($J298,FM!$A:$J,3,FALSE))</f>
        <v>0</v>
      </c>
      <c r="C298" s="60">
        <f>IF(ISNA(VLOOKUP($J298,FM!$A:$J,4,FALSE)),0,VLOOKUP($J298,FM!$A:$J,4,FALSE))</f>
        <v>0</v>
      </c>
      <c r="D298" s="60">
        <f>IF(ISNA(VLOOKUP($J298,FM!$A:$J,5,FALSE)),0,VLOOKUP($J298,FM!$A:$J,5,FALSE))</f>
        <v>535421</v>
      </c>
      <c r="E298" s="60">
        <f>IF(ISNA(VLOOKUP($J298,FM!$A:$J,6,FALSE)),0,VLOOKUP($J298,FM!$A:$J,6,FALSE))</f>
        <v>354395.16</v>
      </c>
      <c r="F298" s="60">
        <f>IF(ISNA(VLOOKUP($J298,FM!$A:$J,7,FALSE)),0,VLOOKUP($J298,FM!$A:$J,7,FALSE))</f>
        <v>181025.84</v>
      </c>
      <c r="G298" s="60">
        <f t="shared" si="88"/>
        <v>354395.16</v>
      </c>
      <c r="H298" s="60">
        <f t="shared" si="88"/>
        <v>181025.84</v>
      </c>
      <c r="I298" s="60">
        <f t="shared" si="89"/>
        <v>535421</v>
      </c>
      <c r="J298" s="111" t="s">
        <v>830</v>
      </c>
    </row>
    <row r="299" spans="1:10" x14ac:dyDescent="0.3">
      <c r="A299" s="109" t="s">
        <v>309</v>
      </c>
      <c r="B299" s="60">
        <f>IF(ISNA(VLOOKUP($J299,FM!$A:$J,3,FALSE)),0,VLOOKUP($J299,FM!$A:$J,3,FALSE))</f>
        <v>847055.62</v>
      </c>
      <c r="C299" s="60">
        <f>IF(ISNA(VLOOKUP($J299,FM!$A:$J,4,FALSE)),0,VLOOKUP($J299,FM!$A:$J,4,FALSE))</f>
        <v>310234.01</v>
      </c>
      <c r="D299" s="60">
        <f>IF(ISNA(VLOOKUP($J299,FM!$A:$J,5,FALSE)),0,VLOOKUP($J299,FM!$A:$J,5,FALSE))</f>
        <v>-12588546.33</v>
      </c>
      <c r="E299" s="60">
        <f>IF(ISNA(VLOOKUP($J299,FM!$A:$J,6,FALSE)),0,VLOOKUP($J299,FM!$A:$J,6,FALSE))</f>
        <v>-8332358.8099999996</v>
      </c>
      <c r="F299" s="60">
        <f>IF(ISNA(VLOOKUP($J299,FM!$A:$J,7,FALSE)),0,VLOOKUP($J299,FM!$A:$J,7,FALSE))</f>
        <v>-4256187.5199999996</v>
      </c>
      <c r="G299" s="60">
        <f t="shared" si="88"/>
        <v>-7485303.1899999995</v>
      </c>
      <c r="H299" s="60">
        <f t="shared" si="88"/>
        <v>-3945953.51</v>
      </c>
      <c r="I299" s="60">
        <f t="shared" si="89"/>
        <v>-11431256.699999999</v>
      </c>
      <c r="J299" s="111" t="s">
        <v>831</v>
      </c>
    </row>
    <row r="300" spans="1:10" x14ac:dyDescent="0.3">
      <c r="A300" s="109" t="s">
        <v>310</v>
      </c>
      <c r="B300" s="60">
        <f>IF(ISNA(VLOOKUP($J300,FM!$A:$J,3,FALSE)),0,VLOOKUP($J300,FM!$A:$J,3,FALSE))</f>
        <v>-5776317.8399999999</v>
      </c>
      <c r="C300" s="60">
        <f>IF(ISNA(VLOOKUP($J300,FM!$A:$J,4,FALSE)),0,VLOOKUP($J300,FM!$A:$J,4,FALSE))</f>
        <v>-8098979.71</v>
      </c>
      <c r="D300" s="60">
        <f>IF(ISNA(VLOOKUP($J300,FM!$A:$J,5,FALSE)),0,VLOOKUP($J300,FM!$A:$J,5,FALSE))</f>
        <v>-1926446.29</v>
      </c>
      <c r="E300" s="60">
        <f>IF(ISNA(VLOOKUP($J300,FM!$A:$J,6,FALSE)),0,VLOOKUP($J300,FM!$A:$J,6,FALSE))</f>
        <v>-1275114.81</v>
      </c>
      <c r="F300" s="60">
        <f>IF(ISNA(VLOOKUP($J300,FM!$A:$J,7,FALSE)),0,VLOOKUP($J300,FM!$A:$J,7,FALSE))</f>
        <v>-651331.48</v>
      </c>
      <c r="G300" s="60">
        <f t="shared" si="88"/>
        <v>-7051432.6500000004</v>
      </c>
      <c r="H300" s="60">
        <f t="shared" si="88"/>
        <v>-8750311.1899999995</v>
      </c>
      <c r="I300" s="60">
        <f t="shared" si="89"/>
        <v>-15801743.84</v>
      </c>
      <c r="J300" s="111" t="s">
        <v>833</v>
      </c>
    </row>
    <row r="301" spans="1:10" x14ac:dyDescent="0.3">
      <c r="A301" s="109" t="s">
        <v>311</v>
      </c>
      <c r="B301" s="60">
        <f>IF(ISNA(VLOOKUP($J301,FM!$A:$J,3,FALSE)),0,VLOOKUP($J301,FM!$A:$J,3,FALSE))</f>
        <v>-68920.740000000005</v>
      </c>
      <c r="C301" s="60">
        <f>IF(ISNA(VLOOKUP($J301,FM!$A:$J,4,FALSE)),0,VLOOKUP($J301,FM!$A:$J,4,FALSE))</f>
        <v>-1850</v>
      </c>
      <c r="D301" s="60">
        <f>IF(ISNA(VLOOKUP($J301,FM!$A:$J,5,FALSE)),0,VLOOKUP($J301,FM!$A:$J,5,FALSE))</f>
        <v>-8556.48</v>
      </c>
      <c r="E301" s="60">
        <f>IF(ISNA(VLOOKUP($J301,FM!$A:$J,6,FALSE)),0,VLOOKUP($J301,FM!$A:$J,6,FALSE))</f>
        <v>-5663.51</v>
      </c>
      <c r="F301" s="60">
        <f>IF(ISNA(VLOOKUP($J301,FM!$A:$J,7,FALSE)),0,VLOOKUP($J301,FM!$A:$J,7,FALSE))</f>
        <v>-2892.97</v>
      </c>
      <c r="G301" s="60">
        <f t="shared" si="88"/>
        <v>-74584.25</v>
      </c>
      <c r="H301" s="60">
        <f t="shared" si="88"/>
        <v>-4742.9699999999993</v>
      </c>
      <c r="I301" s="60">
        <f t="shared" si="89"/>
        <v>-79327.22</v>
      </c>
      <c r="J301" s="111" t="s">
        <v>835</v>
      </c>
    </row>
    <row r="302" spans="1:10" x14ac:dyDescent="0.3">
      <c r="A302" s="109" t="s">
        <v>312</v>
      </c>
      <c r="B302" s="60">
        <f>IF(ISNA(VLOOKUP($J302,FM!$A:$J,3,FALSE)),0,VLOOKUP($J302,FM!$A:$J,3,FALSE))</f>
        <v>-63751.040000000001</v>
      </c>
      <c r="C302" s="60">
        <f>IF(ISNA(VLOOKUP($J302,FM!$A:$J,4,FALSE)),0,VLOOKUP($J302,FM!$A:$J,4,FALSE))</f>
        <v>0</v>
      </c>
      <c r="D302" s="60">
        <f>IF(ISNA(VLOOKUP($J302,FM!$A:$J,5,FALSE)),0,VLOOKUP($J302,FM!$A:$J,5,FALSE))</f>
        <v>0</v>
      </c>
      <c r="E302" s="60">
        <f>IF(ISNA(VLOOKUP($J302,FM!$A:$J,6,FALSE)),0,VLOOKUP($J302,FM!$A:$J,6,FALSE))</f>
        <v>0</v>
      </c>
      <c r="F302" s="60">
        <f>IF(ISNA(VLOOKUP($J302,FM!$A:$J,7,FALSE)),0,VLOOKUP($J302,FM!$A:$J,7,FALSE))</f>
        <v>0</v>
      </c>
      <c r="G302" s="60">
        <f t="shared" si="88"/>
        <v>-63751.040000000001</v>
      </c>
      <c r="H302" s="60">
        <f t="shared" si="88"/>
        <v>0</v>
      </c>
      <c r="I302" s="60">
        <f t="shared" si="89"/>
        <v>-63751.040000000001</v>
      </c>
      <c r="J302" s="111" t="s">
        <v>900</v>
      </c>
    </row>
    <row r="303" spans="1:10" x14ac:dyDescent="0.3">
      <c r="A303" s="109" t="s">
        <v>313</v>
      </c>
      <c r="B303" s="60">
        <f>IF(ISNA(VLOOKUP($J303,FM!$A:$J,3,FALSE)),0,VLOOKUP($J303,FM!$A:$J,3,FALSE))</f>
        <v>0</v>
      </c>
      <c r="C303" s="60">
        <f>IF(ISNA(VLOOKUP($J303,FM!$A:$J,4,FALSE)),0,VLOOKUP($J303,FM!$A:$J,4,FALSE))</f>
        <v>0</v>
      </c>
      <c r="D303" s="60">
        <f>IF(ISNA(VLOOKUP($J303,FM!$A:$J,5,FALSE)),0,VLOOKUP($J303,FM!$A:$J,5,FALSE))</f>
        <v>0</v>
      </c>
      <c r="E303" s="60">
        <f>IF(ISNA(VLOOKUP($J303,FM!$A:$J,6,FALSE)),0,VLOOKUP($J303,FM!$A:$J,6,FALSE))</f>
        <v>0</v>
      </c>
      <c r="F303" s="60">
        <f>IF(ISNA(VLOOKUP($J303,FM!$A:$J,7,FALSE)),0,VLOOKUP($J303,FM!$A:$J,7,FALSE))</f>
        <v>0</v>
      </c>
      <c r="G303" s="60">
        <f t="shared" si="88"/>
        <v>0</v>
      </c>
      <c r="H303" s="60">
        <f t="shared" si="88"/>
        <v>0</v>
      </c>
      <c r="I303" s="60">
        <f t="shared" si="89"/>
        <v>0</v>
      </c>
      <c r="J303" s="111" t="s">
        <v>901</v>
      </c>
    </row>
    <row r="304" spans="1:10" x14ac:dyDescent="0.3">
      <c r="A304" s="109" t="s">
        <v>314</v>
      </c>
      <c r="B304" s="60">
        <f>IF(ISNA(VLOOKUP($J304,FM!$A:$J,3,FALSE)),0,VLOOKUP($J304,FM!$A:$J,3,FALSE))</f>
        <v>-8137110.9199999999</v>
      </c>
      <c r="C304" s="60">
        <f>IF(ISNA(VLOOKUP($J304,FM!$A:$J,4,FALSE)),0,VLOOKUP($J304,FM!$A:$J,4,FALSE))</f>
        <v>0</v>
      </c>
      <c r="D304" s="60">
        <f>IF(ISNA(VLOOKUP($J304,FM!$A:$J,5,FALSE)),0,VLOOKUP($J304,FM!$A:$J,5,FALSE))</f>
        <v>0</v>
      </c>
      <c r="E304" s="60">
        <f>IF(ISNA(VLOOKUP($J304,FM!$A:$J,6,FALSE)),0,VLOOKUP($J304,FM!$A:$J,6,FALSE))</f>
        <v>0</v>
      </c>
      <c r="F304" s="60">
        <f>IF(ISNA(VLOOKUP($J304,FM!$A:$J,7,FALSE)),0,VLOOKUP($J304,FM!$A:$J,7,FALSE))</f>
        <v>0</v>
      </c>
      <c r="G304" s="60">
        <f t="shared" si="88"/>
        <v>-8137110.9199999999</v>
      </c>
      <c r="H304" s="60">
        <f t="shared" si="88"/>
        <v>0</v>
      </c>
      <c r="I304" s="60">
        <f t="shared" si="89"/>
        <v>-8137110.9199999999</v>
      </c>
      <c r="J304" s="111" t="s">
        <v>837</v>
      </c>
    </row>
    <row r="305" spans="1:10" x14ac:dyDescent="0.3">
      <c r="A305" s="109" t="s">
        <v>315</v>
      </c>
      <c r="B305" s="60">
        <f>IF(ISNA(VLOOKUP($J305,FM!$A:$J,3,FALSE)),0,VLOOKUP($J305,FM!$A:$J,3,FALSE))</f>
        <v>0</v>
      </c>
      <c r="C305" s="60">
        <f>IF(ISNA(VLOOKUP($J305,FM!$A:$J,4,FALSE)),0,VLOOKUP($J305,FM!$A:$J,4,FALSE))</f>
        <v>0</v>
      </c>
      <c r="D305" s="60">
        <f>IF(ISNA(VLOOKUP($J305,FM!$A:$J,5,FALSE)),0,VLOOKUP($J305,FM!$A:$J,5,FALSE))</f>
        <v>0</v>
      </c>
      <c r="E305" s="60">
        <f>IF(ISNA(VLOOKUP($J305,FM!$A:$J,6,FALSE)),0,VLOOKUP($J305,FM!$A:$J,6,FALSE))</f>
        <v>0</v>
      </c>
      <c r="F305" s="60">
        <f>IF(ISNA(VLOOKUP($J305,FM!$A:$J,7,FALSE)),0,VLOOKUP($J305,FM!$A:$J,7,FALSE))</f>
        <v>0</v>
      </c>
      <c r="G305" s="60">
        <f t="shared" si="88"/>
        <v>0</v>
      </c>
      <c r="H305" s="60">
        <f t="shared" si="88"/>
        <v>0</v>
      </c>
      <c r="I305" s="60">
        <f t="shared" si="89"/>
        <v>0</v>
      </c>
      <c r="J305" s="111"/>
    </row>
    <row r="306" spans="1:10" x14ac:dyDescent="0.3">
      <c r="A306" s="109" t="s">
        <v>316</v>
      </c>
      <c r="B306" s="60">
        <f>IF(ISNA(VLOOKUP($J306,FM!$A:$J,3,FALSE)),0,VLOOKUP($J306,FM!$A:$J,3,FALSE))</f>
        <v>0</v>
      </c>
      <c r="C306" s="60">
        <f>IF(ISNA(VLOOKUP($J306,FM!$A:$J,4,FALSE)),0,VLOOKUP($J306,FM!$A:$J,4,FALSE))</f>
        <v>0</v>
      </c>
      <c r="D306" s="60">
        <f>IF(ISNA(VLOOKUP($J306,FM!$A:$J,5,FALSE)),0,VLOOKUP($J306,FM!$A:$J,5,FALSE))</f>
        <v>0</v>
      </c>
      <c r="E306" s="60">
        <f>IF(ISNA(VLOOKUP($J306,FM!$A:$J,6,FALSE)),0,VLOOKUP($J306,FM!$A:$J,6,FALSE))</f>
        <v>0</v>
      </c>
      <c r="F306" s="60">
        <f>IF(ISNA(VLOOKUP($J306,FM!$A:$J,7,FALSE)),0,VLOOKUP($J306,FM!$A:$J,7,FALSE))</f>
        <v>0</v>
      </c>
      <c r="G306" s="60">
        <f t="shared" si="88"/>
        <v>0</v>
      </c>
      <c r="H306" s="60">
        <f t="shared" si="88"/>
        <v>0</v>
      </c>
      <c r="I306" s="60">
        <f t="shared" si="89"/>
        <v>0</v>
      </c>
      <c r="J306" s="111" t="s">
        <v>902</v>
      </c>
    </row>
    <row r="307" spans="1:10" x14ac:dyDescent="0.3">
      <c r="A307" s="109" t="s">
        <v>317</v>
      </c>
      <c r="B307" s="60">
        <f>IF(ISNA(VLOOKUP($J307,FM!$A:$J,3,FALSE)),0,VLOOKUP($J307,FM!$A:$J,3,FALSE))</f>
        <v>11954.56</v>
      </c>
      <c r="C307" s="60">
        <f>IF(ISNA(VLOOKUP($J307,FM!$A:$J,4,FALSE)),0,VLOOKUP($J307,FM!$A:$J,4,FALSE))</f>
        <v>0</v>
      </c>
      <c r="D307" s="60">
        <f>IF(ISNA(VLOOKUP($J307,FM!$A:$J,5,FALSE)),0,VLOOKUP($J307,FM!$A:$J,5,FALSE))</f>
        <v>48186.5</v>
      </c>
      <c r="E307" s="60">
        <f>IF(ISNA(VLOOKUP($J307,FM!$A:$J,6,FALSE)),0,VLOOKUP($J307,FM!$A:$J,6,FALSE))</f>
        <v>31894.68</v>
      </c>
      <c r="F307" s="60">
        <f>IF(ISNA(VLOOKUP($J307,FM!$A:$J,7,FALSE)),0,VLOOKUP($J307,FM!$A:$J,7,FALSE))</f>
        <v>16291.82</v>
      </c>
      <c r="G307" s="60">
        <f t="shared" si="88"/>
        <v>43849.24</v>
      </c>
      <c r="H307" s="60">
        <f t="shared" si="88"/>
        <v>16291.82</v>
      </c>
      <c r="I307" s="60">
        <f t="shared" si="89"/>
        <v>60141.06</v>
      </c>
      <c r="J307" s="111" t="s">
        <v>839</v>
      </c>
    </row>
    <row r="308" spans="1:10" x14ac:dyDescent="0.3">
      <c r="A308" s="109" t="s">
        <v>318</v>
      </c>
      <c r="B308" s="60">
        <f>IF(ISNA(VLOOKUP($J308,FM!$A:$J,3,FALSE)),0,VLOOKUP($J308,FM!$A:$J,3,FALSE))</f>
        <v>0</v>
      </c>
      <c r="C308" s="60">
        <f>IF(ISNA(VLOOKUP($J308,FM!$A:$J,4,FALSE)),0,VLOOKUP($J308,FM!$A:$J,4,FALSE))</f>
        <v>0</v>
      </c>
      <c r="D308" s="60">
        <f>IF(ISNA(VLOOKUP($J308,FM!$A:$J,5,FALSE)),0,VLOOKUP($J308,FM!$A:$J,5,FALSE))</f>
        <v>-1698847.34</v>
      </c>
      <c r="E308" s="60">
        <f>IF(ISNA(VLOOKUP($J308,FM!$A:$J,6,FALSE)),0,VLOOKUP($J308,FM!$A:$J,6,FALSE))</f>
        <v>-1124467.05</v>
      </c>
      <c r="F308" s="60">
        <f>IF(ISNA(VLOOKUP($J308,FM!$A:$J,7,FALSE)),0,VLOOKUP($J308,FM!$A:$J,7,FALSE))</f>
        <v>-574380.29</v>
      </c>
      <c r="G308" s="60">
        <f t="shared" si="88"/>
        <v>-1124467.05</v>
      </c>
      <c r="H308" s="60">
        <f t="shared" si="88"/>
        <v>-574380.29</v>
      </c>
      <c r="I308" s="60">
        <f t="shared" si="89"/>
        <v>-1698847.34</v>
      </c>
      <c r="J308" s="111" t="s">
        <v>841</v>
      </c>
    </row>
    <row r="309" spans="1:10" x14ac:dyDescent="0.3">
      <c r="A309" s="109" t="s">
        <v>319</v>
      </c>
      <c r="B309" s="60">
        <f>IF(ISNA(VLOOKUP($J309,FM!$A:$J,3,FALSE)),0,VLOOKUP($J309,FM!$A:$J,3,FALSE))</f>
        <v>0</v>
      </c>
      <c r="C309" s="60">
        <f>IF(ISNA(VLOOKUP($J309,FM!$A:$J,4,FALSE)),0,VLOOKUP($J309,FM!$A:$J,4,FALSE))</f>
        <v>0</v>
      </c>
      <c r="D309" s="60">
        <f>IF(ISNA(VLOOKUP($J309,FM!$A:$J,5,FALSE)),0,VLOOKUP($J309,FM!$A:$J,5,FALSE))</f>
        <v>907061.92</v>
      </c>
      <c r="E309" s="60">
        <f>IF(ISNA(VLOOKUP($J309,FM!$A:$J,6,FALSE)),0,VLOOKUP($J309,FM!$A:$J,6,FALSE))</f>
        <v>600384.28</v>
      </c>
      <c r="F309" s="60">
        <f>IF(ISNA(VLOOKUP($J309,FM!$A:$J,7,FALSE)),0,VLOOKUP($J309,FM!$A:$J,7,FALSE))</f>
        <v>306677.64</v>
      </c>
      <c r="G309" s="60">
        <f t="shared" si="88"/>
        <v>600384.28</v>
      </c>
      <c r="H309" s="60">
        <f t="shared" si="88"/>
        <v>306677.64</v>
      </c>
      <c r="I309" s="60">
        <f t="shared" si="89"/>
        <v>907061.92</v>
      </c>
      <c r="J309" s="111" t="s">
        <v>842</v>
      </c>
    </row>
    <row r="310" spans="1:10" x14ac:dyDescent="0.3">
      <c r="A310" s="109" t="s">
        <v>320</v>
      </c>
      <c r="B310" s="60">
        <f>IF(ISNA(VLOOKUP($J310,FM!$A:$J,3,FALSE)),0,VLOOKUP($J310,FM!$A:$J,3,FALSE))</f>
        <v>390242.83</v>
      </c>
      <c r="C310" s="60">
        <f>IF(ISNA(VLOOKUP($J310,FM!$A:$J,4,FALSE)),0,VLOOKUP($J310,FM!$A:$J,4,FALSE))</f>
        <v>199336.77</v>
      </c>
      <c r="D310" s="60">
        <f>IF(ISNA(VLOOKUP($J310,FM!$A:$J,5,FALSE)),0,VLOOKUP($J310,FM!$A:$J,5,FALSE))</f>
        <v>5239680.01</v>
      </c>
      <c r="E310" s="60">
        <f>IF(ISNA(VLOOKUP($J310,FM!$A:$J,6,FALSE)),0,VLOOKUP($J310,FM!$A:$J,6,FALSE))</f>
        <v>3468144.15</v>
      </c>
      <c r="F310" s="60">
        <f>IF(ISNA(VLOOKUP($J310,FM!$A:$J,7,FALSE)),0,VLOOKUP($J310,FM!$A:$J,7,FALSE))</f>
        <v>1771535.86</v>
      </c>
      <c r="G310" s="60">
        <f t="shared" si="88"/>
        <v>3858386.98</v>
      </c>
      <c r="H310" s="60">
        <f t="shared" si="88"/>
        <v>1970872.6300000001</v>
      </c>
      <c r="I310" s="60">
        <f t="shared" si="89"/>
        <v>5829259.6100000003</v>
      </c>
      <c r="J310" s="111" t="s">
        <v>843</v>
      </c>
    </row>
    <row r="311" spans="1:10" x14ac:dyDescent="0.3">
      <c r="A311" s="109" t="s">
        <v>321</v>
      </c>
      <c r="B311" s="60">
        <f>IFERROR(SUMIF(FM!$A:$A,'Unallocated Detail (CBR)'!$J311,FM!C:C),0)</f>
        <v>0</v>
      </c>
      <c r="C311" s="60">
        <f>IFERROR(SUMIF(FM!$A:$A,'Unallocated Detail (CBR)'!$J311,FM!D:D),0)</f>
        <v>0</v>
      </c>
      <c r="D311" s="60">
        <f>IFERROR(SUMIF(FM!$A:$A,'Unallocated Detail (CBR)'!$J311,FM!E:E),0)</f>
        <v>4935568.5200000005</v>
      </c>
      <c r="E311" s="60">
        <f>IFERROR(SUMIF(FM!$A:$A,'Unallocated Detail (CBR)'!$J311,FM!F:F),0)</f>
        <v>3266853.04</v>
      </c>
      <c r="F311" s="60">
        <f>IFERROR(SUMIF(FM!$A:$A,'Unallocated Detail (CBR)'!$J311,FM!G:G),0)</f>
        <v>1668715.48</v>
      </c>
      <c r="G311" s="60">
        <f t="shared" si="88"/>
        <v>3266853.04</v>
      </c>
      <c r="H311" s="60">
        <f t="shared" si="88"/>
        <v>1668715.48</v>
      </c>
      <c r="I311" s="60">
        <f t="shared" ref="I311" si="91">SUM(G311:H311)</f>
        <v>4935568.5199999996</v>
      </c>
      <c r="J311" s="111" t="s">
        <v>845</v>
      </c>
    </row>
    <row r="312" spans="1:10" x14ac:dyDescent="0.3">
      <c r="A312" s="109" t="s">
        <v>322</v>
      </c>
      <c r="B312" s="60">
        <f>SUM(B288:B311)</f>
        <v>-12156126.35</v>
      </c>
      <c r="C312" s="60">
        <f t="shared" ref="C312:I312" si="92">SUM(C288:C311)</f>
        <v>-7591258.9300000006</v>
      </c>
      <c r="D312" s="60">
        <f t="shared" si="92"/>
        <v>-40107489.349999987</v>
      </c>
      <c r="E312" s="60">
        <f t="shared" si="92"/>
        <v>-26547146.829999991</v>
      </c>
      <c r="F312" s="60">
        <f t="shared" si="92"/>
        <v>-13560342.519999996</v>
      </c>
      <c r="G312" s="60">
        <f t="shared" si="92"/>
        <v>-38703273.18</v>
      </c>
      <c r="H312" s="60">
        <f t="shared" si="92"/>
        <v>-21151601.449999996</v>
      </c>
      <c r="I312" s="60">
        <f t="shared" si="92"/>
        <v>-59854874.62999998</v>
      </c>
      <c r="J312" s="164" t="s">
        <v>812</v>
      </c>
    </row>
    <row r="313" spans="1:10" x14ac:dyDescent="0.3">
      <c r="A313" s="59" t="s">
        <v>323</v>
      </c>
      <c r="B313" s="60"/>
      <c r="C313" s="60"/>
      <c r="D313" s="60"/>
      <c r="E313" s="60"/>
      <c r="F313" s="60"/>
      <c r="G313" s="60"/>
      <c r="H313" s="60"/>
      <c r="I313" s="60"/>
      <c r="J313" s="112"/>
    </row>
    <row r="314" spans="1:10" x14ac:dyDescent="0.3">
      <c r="A314" s="109" t="s">
        <v>324</v>
      </c>
      <c r="B314" s="60">
        <f>IF(ISNA(VLOOKUP($J314,FM!$A:$J,3,FALSE)),0,VLOOKUP($J314,FM!$A:$J,3,FALSE))</f>
        <v>0</v>
      </c>
      <c r="C314" s="60">
        <f>IF(ISNA(VLOOKUP($J314,FM!$A:$J,4,FALSE)),0,VLOOKUP($J314,FM!$A:$J,4,FALSE))</f>
        <v>0</v>
      </c>
      <c r="D314" s="60">
        <f>IF(ISNA(VLOOKUP($J314,FM!$A:$J,5,FALSE)),0,VLOOKUP($J314,FM!$A:$J,5,FALSE))</f>
        <v>217516084</v>
      </c>
      <c r="E314" s="60">
        <f>IF(ISNA(VLOOKUP($J314,FM!$A:$J,6,FALSE)),0,VLOOKUP($J314,FM!$A:$J,6,FALSE))</f>
        <v>143973896.06</v>
      </c>
      <c r="F314" s="60">
        <f>IF(ISNA(VLOOKUP($J314,FM!$A:$J,7,FALSE)),0,VLOOKUP($J314,FM!$A:$J,7,FALSE))</f>
        <v>73542187.939999998</v>
      </c>
      <c r="G314" s="60">
        <f t="shared" ref="G314:H322" si="93">B314+E314</f>
        <v>143973896.06</v>
      </c>
      <c r="H314" s="60">
        <f t="shared" si="93"/>
        <v>73542187.939999998</v>
      </c>
      <c r="I314" s="60">
        <f t="shared" ref="I314:I322" si="94">SUM(G314:H314)</f>
        <v>217516084</v>
      </c>
      <c r="J314" s="111" t="s">
        <v>849</v>
      </c>
    </row>
    <row r="315" spans="1:10" x14ac:dyDescent="0.3">
      <c r="A315" s="109" t="s">
        <v>325</v>
      </c>
      <c r="B315" s="60">
        <f>IF(ISNA(VLOOKUP($J315,FM!$A:$J,3,FALSE)),0,VLOOKUP($J315,FM!$A:$J,3,FALSE))</f>
        <v>0</v>
      </c>
      <c r="C315" s="60">
        <f>IF(ISNA(VLOOKUP($J315,FM!$A:$J,4,FALSE)),0,VLOOKUP($J315,FM!$A:$J,4,FALSE))</f>
        <v>0</v>
      </c>
      <c r="D315" s="60">
        <f>IF(ISNA(VLOOKUP($J315,FM!$A:$J,5,FALSE)),0,VLOOKUP($J315,FM!$A:$J,5,FALSE))</f>
        <v>0</v>
      </c>
      <c r="E315" s="60">
        <f>IF(ISNA(VLOOKUP($J315,FM!$A:$J,6,FALSE)),0,VLOOKUP($J315,FM!$A:$J,6,FALSE))</f>
        <v>0</v>
      </c>
      <c r="F315" s="60">
        <f>IF(ISNA(VLOOKUP($J315,FM!$A:$J,7,FALSE)),0,VLOOKUP($J315,FM!$A:$J,7,FALSE))</f>
        <v>0</v>
      </c>
      <c r="G315" s="60">
        <f t="shared" si="93"/>
        <v>0</v>
      </c>
      <c r="H315" s="60">
        <f t="shared" si="93"/>
        <v>0</v>
      </c>
      <c r="I315" s="60">
        <f t="shared" si="94"/>
        <v>0</v>
      </c>
      <c r="J315" s="112"/>
    </row>
    <row r="316" spans="1:10" x14ac:dyDescent="0.3">
      <c r="A316" s="109" t="s">
        <v>326</v>
      </c>
      <c r="B316" s="60">
        <f>IF(ISNA(VLOOKUP($J316,FM!$A:$J,3,FALSE)),0,VLOOKUP($J316,FM!$A:$J,3,FALSE))</f>
        <v>0</v>
      </c>
      <c r="C316" s="60">
        <f>IF(ISNA(VLOOKUP($J316,FM!$A:$J,4,FALSE)),0,VLOOKUP($J316,FM!$A:$J,4,FALSE))</f>
        <v>0</v>
      </c>
      <c r="D316" s="60">
        <f>IF(ISNA(VLOOKUP($J316,FM!$A:$J,5,FALSE)),0,VLOOKUP($J316,FM!$A:$J,5,FALSE))</f>
        <v>2314664.46</v>
      </c>
      <c r="E316" s="60">
        <f>IF(ISNA(VLOOKUP($J316,FM!$A:$J,6,FALSE)),0,VLOOKUP($J316,FM!$A:$J,6,FALSE))</f>
        <v>1532076.29</v>
      </c>
      <c r="F316" s="60">
        <f>IF(ISNA(VLOOKUP($J316,FM!$A:$J,7,FALSE)),0,VLOOKUP($J316,FM!$A:$J,7,FALSE))</f>
        <v>782588.17</v>
      </c>
      <c r="G316" s="60">
        <f t="shared" si="93"/>
        <v>1532076.29</v>
      </c>
      <c r="H316" s="60">
        <f t="shared" si="93"/>
        <v>782588.17</v>
      </c>
      <c r="I316" s="60">
        <f t="shared" si="94"/>
        <v>2314664.46</v>
      </c>
      <c r="J316" s="111" t="s">
        <v>851</v>
      </c>
    </row>
    <row r="317" spans="1:10" x14ac:dyDescent="0.3">
      <c r="A317" s="109" t="s">
        <v>327</v>
      </c>
      <c r="B317" s="60">
        <f>IF(ISNA(VLOOKUP($J317,FM!$A:$J,3,FALSE)),0,VLOOKUP($J317,FM!$A:$J,3,FALSE))</f>
        <v>9163.51</v>
      </c>
      <c r="C317" s="60">
        <f>IF(ISNA(VLOOKUP($J317,FM!$A:$J,4,FALSE)),0,VLOOKUP($J317,FM!$A:$J,4,FALSE))</f>
        <v>5461.07</v>
      </c>
      <c r="D317" s="60">
        <f>IF(ISNA(VLOOKUP($J317,FM!$A:$J,5,FALSE)),0,VLOOKUP($J317,FM!$A:$J,5,FALSE))</f>
        <v>2185809.23</v>
      </c>
      <c r="E317" s="60">
        <f>IF(ISNA(VLOOKUP($J317,FM!$A:$J,6,FALSE)),0,VLOOKUP($J317,FM!$A:$J,6,FALSE))</f>
        <v>1446787.11</v>
      </c>
      <c r="F317" s="60">
        <f>IF(ISNA(VLOOKUP($J317,FM!$A:$J,7,FALSE)),0,VLOOKUP($J317,FM!$A:$J,7,FALSE))</f>
        <v>739022.12</v>
      </c>
      <c r="G317" s="60">
        <f t="shared" si="93"/>
        <v>1455950.62</v>
      </c>
      <c r="H317" s="60">
        <f t="shared" si="93"/>
        <v>744483.19</v>
      </c>
      <c r="I317" s="60">
        <f t="shared" si="94"/>
        <v>2200433.81</v>
      </c>
      <c r="J317" s="111" t="s">
        <v>853</v>
      </c>
    </row>
    <row r="318" spans="1:10" x14ac:dyDescent="0.3">
      <c r="A318" s="109" t="s">
        <v>328</v>
      </c>
      <c r="B318" s="60">
        <f>IF(ISNA(VLOOKUP($J318,FM!$A:$J,3,FALSE)),0,VLOOKUP($J318,FM!$A:$J,3,FALSE))</f>
        <v>0</v>
      </c>
      <c r="C318" s="60">
        <f>IF(ISNA(VLOOKUP($J318,FM!$A:$J,4,FALSE)),0,VLOOKUP($J318,FM!$A:$J,4,FALSE))</f>
        <v>0</v>
      </c>
      <c r="D318" s="60">
        <f>IF(ISNA(VLOOKUP($J318,FM!$A:$J,5,FALSE)),0,VLOOKUP($J318,FM!$A:$J,5,FALSE))</f>
        <v>0</v>
      </c>
      <c r="E318" s="60">
        <f>IF(ISNA(VLOOKUP($J318,FM!$A:$J,6,FALSE)),0,VLOOKUP($J318,FM!$A:$J,6,FALSE))</f>
        <v>0</v>
      </c>
      <c r="F318" s="60">
        <f>IF(ISNA(VLOOKUP($J318,FM!$A:$J,7,FALSE)),0,VLOOKUP($J318,FM!$A:$J,7,FALSE))</f>
        <v>0</v>
      </c>
      <c r="G318" s="60">
        <f t="shared" si="93"/>
        <v>0</v>
      </c>
      <c r="H318" s="60">
        <f t="shared" si="93"/>
        <v>0</v>
      </c>
      <c r="I318" s="60">
        <f t="shared" si="94"/>
        <v>0</v>
      </c>
      <c r="J318" s="111" t="s">
        <v>903</v>
      </c>
    </row>
    <row r="319" spans="1:10" x14ac:dyDescent="0.3">
      <c r="A319" s="109" t="s">
        <v>329</v>
      </c>
      <c r="B319" s="60">
        <f>IF(ISNA(VLOOKUP($J319,FM!$A:$J,3,FALSE)),0,VLOOKUP($J319,FM!$A:$J,3,FALSE))</f>
        <v>0</v>
      </c>
      <c r="C319" s="60">
        <f>IF(ISNA(VLOOKUP($J319,FM!$A:$J,4,FALSE)),0,VLOOKUP($J319,FM!$A:$J,4,FALSE))</f>
        <v>0</v>
      </c>
      <c r="D319" s="60">
        <f>IF(ISNA(VLOOKUP($J319,FM!$A:$J,5,FALSE)),0,VLOOKUP($J319,FM!$A:$J,5,FALSE))</f>
        <v>0</v>
      </c>
      <c r="E319" s="60">
        <f>IF(ISNA(VLOOKUP($J319,FM!$A:$J,6,FALSE)),0,VLOOKUP($J319,FM!$A:$J,6,FALSE))</f>
        <v>0</v>
      </c>
      <c r="F319" s="60">
        <f>IF(ISNA(VLOOKUP($J319,FM!$A:$J,7,FALSE)),0,VLOOKUP($J319,FM!$A:$J,7,FALSE))</f>
        <v>0</v>
      </c>
      <c r="G319" s="60">
        <f t="shared" si="93"/>
        <v>0</v>
      </c>
      <c r="H319" s="60">
        <f t="shared" si="93"/>
        <v>0</v>
      </c>
      <c r="I319" s="60">
        <f t="shared" si="94"/>
        <v>0</v>
      </c>
      <c r="J319" s="111" t="s">
        <v>904</v>
      </c>
    </row>
    <row r="320" spans="1:10" x14ac:dyDescent="0.3">
      <c r="A320" s="109" t="s">
        <v>330</v>
      </c>
      <c r="B320" s="60">
        <f>IF(ISNA(VLOOKUP($J320,FM!$A:$J,3,FALSE)),0,VLOOKUP($J320,FM!$A:$J,3,FALSE))</f>
        <v>0</v>
      </c>
      <c r="C320" s="60">
        <f>IF(ISNA(VLOOKUP($J320,FM!$A:$J,4,FALSE)),0,VLOOKUP($J320,FM!$A:$J,4,FALSE))</f>
        <v>0</v>
      </c>
      <c r="D320" s="60">
        <f>IF(ISNA(VLOOKUP($J320,FM!$A:$J,5,FALSE)),0,VLOOKUP($J320,FM!$A:$J,5,FALSE))</f>
        <v>0</v>
      </c>
      <c r="E320" s="60">
        <f>IF(ISNA(VLOOKUP($J320,FM!$A:$J,6,FALSE)),0,VLOOKUP($J320,FM!$A:$J,6,FALSE))</f>
        <v>0</v>
      </c>
      <c r="F320" s="60">
        <f>IF(ISNA(VLOOKUP($J320,FM!$A:$J,7,FALSE)),0,VLOOKUP($J320,FM!$A:$J,7,FALSE))</f>
        <v>0</v>
      </c>
      <c r="G320" s="60">
        <f t="shared" si="93"/>
        <v>0</v>
      </c>
      <c r="H320" s="60">
        <f t="shared" si="93"/>
        <v>0</v>
      </c>
      <c r="I320" s="60">
        <f t="shared" si="94"/>
        <v>0</v>
      </c>
      <c r="J320" s="111" t="s">
        <v>905</v>
      </c>
    </row>
    <row r="321" spans="1:10" x14ac:dyDescent="0.3">
      <c r="A321" s="109" t="s">
        <v>331</v>
      </c>
      <c r="B321" s="60">
        <f>IF(ISNA(VLOOKUP($J321,FM!$A:$J,3,FALSE)),0,VLOOKUP($J321,FM!$A:$J,3,FALSE))</f>
        <v>9095562.4299999997</v>
      </c>
      <c r="C321" s="60">
        <f>IF(ISNA(VLOOKUP($J321,FM!$A:$J,4,FALSE)),0,VLOOKUP($J321,FM!$A:$J,4,FALSE))</f>
        <v>256866.82</v>
      </c>
      <c r="D321" s="60">
        <f>IF(ISNA(VLOOKUP($J321,FM!$A:$J,5,FALSE)),0,VLOOKUP($J321,FM!$A:$J,5,FALSE))</f>
        <v>12394398.26</v>
      </c>
      <c r="E321" s="60">
        <f>IF(ISNA(VLOOKUP($J321,FM!$A:$J,6,FALSE)),0,VLOOKUP($J321,FM!$A:$J,6,FALSE))</f>
        <v>8203852.2000000002</v>
      </c>
      <c r="F321" s="60">
        <f>IF(ISNA(VLOOKUP($J321,FM!$A:$J,7,FALSE)),0,VLOOKUP($J321,FM!$A:$J,7,FALSE))</f>
        <v>4190546.06</v>
      </c>
      <c r="G321" s="60">
        <f t="shared" si="93"/>
        <v>17299414.629999999</v>
      </c>
      <c r="H321" s="60">
        <f t="shared" si="93"/>
        <v>4447412.88</v>
      </c>
      <c r="I321" s="60">
        <f t="shared" si="94"/>
        <v>21746827.509999998</v>
      </c>
      <c r="J321" s="111" t="s">
        <v>855</v>
      </c>
    </row>
    <row r="322" spans="1:10" x14ac:dyDescent="0.3">
      <c r="A322" s="109" t="s">
        <v>332</v>
      </c>
      <c r="B322" s="163">
        <f>IF(ISNA(VLOOKUP($J322,FM!$A:$J,3,FALSE)),0,VLOOKUP($J322,FM!$A:$J,3,FALSE))</f>
        <v>-7280916.2999999998</v>
      </c>
      <c r="C322" s="163">
        <f>IF(ISNA(VLOOKUP($J322,FM!$A:$J,4,FALSE)),0,VLOOKUP($J322,FM!$A:$J,4,FALSE))</f>
        <v>-5254433.33</v>
      </c>
      <c r="D322" s="163">
        <f>IF(ISNA(VLOOKUP($J322,FM!$A:$J,5,FALSE)),0,VLOOKUP($J322,FM!$A:$J,5,FALSE))</f>
        <v>-2023492.88</v>
      </c>
      <c r="E322" s="163">
        <f>IF(ISNA(VLOOKUP($J322,FM!$A:$J,6,FALSE)),0,VLOOKUP($J322,FM!$A:$J,6,FALSE))</f>
        <v>-1339349.92</v>
      </c>
      <c r="F322" s="163">
        <f>IF(ISNA(VLOOKUP($J322,FM!$A:$J,7,FALSE)),0,VLOOKUP($J322,FM!$A:$J,7,FALSE))</f>
        <v>-684142.96</v>
      </c>
      <c r="G322" s="163">
        <f t="shared" si="93"/>
        <v>-8620266.2199999988</v>
      </c>
      <c r="H322" s="163">
        <f t="shared" si="93"/>
        <v>-5938576.29</v>
      </c>
      <c r="I322" s="163">
        <f t="shared" si="94"/>
        <v>-14558842.509999998</v>
      </c>
      <c r="J322" s="111" t="s">
        <v>857</v>
      </c>
    </row>
    <row r="323" spans="1:10" x14ac:dyDescent="0.3">
      <c r="A323" s="109" t="s">
        <v>333</v>
      </c>
      <c r="B323" s="60">
        <f>SUM(B314:B322)</f>
        <v>1823809.6399999997</v>
      </c>
      <c r="C323" s="60">
        <f t="shared" ref="C323:I323" si="95">SUM(C314:C322)</f>
        <v>-4992105.4400000004</v>
      </c>
      <c r="D323" s="60">
        <f t="shared" si="95"/>
        <v>232387463.06999999</v>
      </c>
      <c r="E323" s="60">
        <f t="shared" si="95"/>
        <v>153817261.74000001</v>
      </c>
      <c r="F323" s="60">
        <f t="shared" si="95"/>
        <v>78570201.330000013</v>
      </c>
      <c r="G323" s="60">
        <f t="shared" si="95"/>
        <v>155641071.38</v>
      </c>
      <c r="H323" s="60">
        <f t="shared" si="95"/>
        <v>73578095.889999986</v>
      </c>
      <c r="I323" s="60">
        <f t="shared" si="95"/>
        <v>229219167.27000001</v>
      </c>
      <c r="J323" s="175" t="s">
        <v>847</v>
      </c>
    </row>
    <row r="324" spans="1:10" x14ac:dyDescent="0.3">
      <c r="A324" s="59" t="s">
        <v>334</v>
      </c>
      <c r="B324" s="60"/>
      <c r="C324" s="60"/>
      <c r="D324" s="60"/>
      <c r="E324" s="60"/>
      <c r="F324" s="60"/>
      <c r="G324" s="60"/>
      <c r="H324" s="60"/>
      <c r="I324" s="60"/>
    </row>
    <row r="325" spans="1:10" x14ac:dyDescent="0.3">
      <c r="A325" s="109" t="s">
        <v>335</v>
      </c>
      <c r="B325" s="60">
        <f>IF(ISNA(VLOOKUP($J325,FM!$A:$J,3,FALSE)),0,VLOOKUP($J325,FM!$A:$J,3,FALSE))</f>
        <v>0</v>
      </c>
      <c r="C325" s="60">
        <f>IF(ISNA(VLOOKUP($J325,FM!$A:$J,4,FALSE)),0,VLOOKUP($J325,FM!$A:$J,4,FALSE))</f>
        <v>0</v>
      </c>
      <c r="D325" s="60">
        <f>IF(ISNA(VLOOKUP($J325,FM!$A:$J,5,FALSE)),0,VLOOKUP($J325,FM!$A:$J,5,FALSE))</f>
        <v>0</v>
      </c>
      <c r="E325" s="60">
        <f>IF(ISNA(VLOOKUP($J325,FM!$A:$J,6,FALSE)),0,VLOOKUP($J325,FM!$A:$J,6,FALSE))</f>
        <v>0</v>
      </c>
      <c r="F325" s="60">
        <f>IF(ISNA(VLOOKUP($J325,FM!$A:$J,7,FALSE)),0,VLOOKUP($J325,FM!$A:$J,7,FALSE))</f>
        <v>0</v>
      </c>
      <c r="G325" s="60">
        <f t="shared" ref="G325:H326" si="96">B325+E325</f>
        <v>0</v>
      </c>
      <c r="H325" s="60">
        <f t="shared" si="96"/>
        <v>0</v>
      </c>
      <c r="I325" s="60">
        <f t="shared" ref="I325:I326" si="97">SUM(G325:H325)</f>
        <v>0</v>
      </c>
      <c r="J325" s="106"/>
    </row>
    <row r="326" spans="1:10" x14ac:dyDescent="0.3">
      <c r="A326" s="109" t="s">
        <v>336</v>
      </c>
      <c r="B326" s="163">
        <f>IF(ISNA(VLOOKUP($J326,FM!$A:$J,3,FALSE)),0,VLOOKUP($J326,FM!$A:$J,3,FALSE))</f>
        <v>0</v>
      </c>
      <c r="C326" s="163">
        <f>IF(ISNA(VLOOKUP($J326,FM!$A:$J,4,FALSE)),0,VLOOKUP($J326,FM!$A:$J,4,FALSE))</f>
        <v>0</v>
      </c>
      <c r="D326" s="163">
        <f>IF(ISNA(VLOOKUP($J326,FM!$A:$J,5,FALSE)),0,VLOOKUP($J326,FM!$A:$J,5,FALSE))</f>
        <v>0</v>
      </c>
      <c r="E326" s="163">
        <f>IF(ISNA(VLOOKUP($J326,FM!$A:$J,6,FALSE)),0,VLOOKUP($J326,FM!$A:$J,6,FALSE))</f>
        <v>0</v>
      </c>
      <c r="F326" s="163">
        <f>IF(ISNA(VLOOKUP($J326,FM!$A:$J,7,FALSE)),0,VLOOKUP($J326,FM!$A:$J,7,FALSE))</f>
        <v>0</v>
      </c>
      <c r="G326" s="163">
        <f t="shared" si="96"/>
        <v>0</v>
      </c>
      <c r="H326" s="163">
        <f t="shared" si="96"/>
        <v>0</v>
      </c>
      <c r="I326" s="163">
        <f t="shared" si="97"/>
        <v>0</v>
      </c>
      <c r="J326" s="111" t="s">
        <v>906</v>
      </c>
    </row>
    <row r="327" spans="1:10" x14ac:dyDescent="0.3">
      <c r="A327" s="109" t="s">
        <v>337</v>
      </c>
      <c r="B327" s="60">
        <f>SUM(B325:B326)</f>
        <v>0</v>
      </c>
      <c r="C327" s="60">
        <f t="shared" ref="C327:I327" si="98">SUM(C325:C326)</f>
        <v>0</v>
      </c>
      <c r="D327" s="60">
        <f t="shared" si="98"/>
        <v>0</v>
      </c>
      <c r="E327" s="60">
        <f t="shared" si="98"/>
        <v>0</v>
      </c>
      <c r="F327" s="60">
        <f t="shared" si="98"/>
        <v>0</v>
      </c>
      <c r="G327" s="60">
        <f t="shared" si="98"/>
        <v>0</v>
      </c>
      <c r="H327" s="60">
        <f t="shared" si="98"/>
        <v>0</v>
      </c>
      <c r="I327" s="60">
        <f t="shared" si="98"/>
        <v>0</v>
      </c>
      <c r="J327" s="112"/>
    </row>
    <row r="328" spans="1:10" x14ac:dyDescent="0.3">
      <c r="A328" s="158"/>
      <c r="B328" s="60">
        <v>0</v>
      </c>
      <c r="C328" s="60">
        <v>0</v>
      </c>
      <c r="D328" s="60">
        <v>0</v>
      </c>
      <c r="E328" s="60">
        <v>0</v>
      </c>
      <c r="F328" s="60">
        <v>0</v>
      </c>
      <c r="G328" s="60">
        <v>0</v>
      </c>
      <c r="H328" s="60">
        <v>0</v>
      </c>
      <c r="I328" s="60">
        <v>0</v>
      </c>
      <c r="J328" s="109"/>
    </row>
    <row r="329" spans="1:10" x14ac:dyDescent="0.3">
      <c r="A329" s="108" t="s">
        <v>1</v>
      </c>
      <c r="B329" s="60">
        <f>B312+B323+B327</f>
        <v>-10332316.710000001</v>
      </c>
      <c r="C329" s="60">
        <f t="shared" ref="C329:I329" si="99">C312+C323+C327</f>
        <v>-12583364.370000001</v>
      </c>
      <c r="D329" s="60">
        <f t="shared" si="99"/>
        <v>192279973.72</v>
      </c>
      <c r="E329" s="60">
        <f t="shared" si="99"/>
        <v>127270114.91000003</v>
      </c>
      <c r="F329" s="60">
        <f t="shared" si="99"/>
        <v>65009858.810000017</v>
      </c>
      <c r="G329" s="60">
        <f t="shared" si="99"/>
        <v>116937798.19999999</v>
      </c>
      <c r="H329" s="60">
        <f t="shared" si="99"/>
        <v>52426494.43999999</v>
      </c>
      <c r="I329" s="60">
        <f t="shared" si="99"/>
        <v>169364292.64000005</v>
      </c>
      <c r="J329" s="176" t="s">
        <v>810</v>
      </c>
    </row>
    <row r="330" spans="1:10" x14ac:dyDescent="0.3">
      <c r="A330" s="158"/>
      <c r="B330" s="163"/>
      <c r="C330" s="163"/>
      <c r="D330" s="163"/>
      <c r="E330" s="163"/>
      <c r="F330" s="163"/>
      <c r="G330" s="163"/>
      <c r="H330" s="163"/>
      <c r="I330" s="163"/>
      <c r="J330" s="109"/>
    </row>
    <row r="331" spans="1:10" ht="15" thickBot="1" x14ac:dyDescent="0.35">
      <c r="A331" s="108" t="s">
        <v>0</v>
      </c>
      <c r="B331" s="177">
        <f>B284-B329</f>
        <v>533889942.59000027</v>
      </c>
      <c r="C331" s="177">
        <f t="shared" ref="C331:I331" si="100">C284-C329</f>
        <v>238437797.8300001</v>
      </c>
      <c r="D331" s="177">
        <f t="shared" si="100"/>
        <v>-479406064.63999999</v>
      </c>
      <c r="E331" s="177">
        <f t="shared" si="100"/>
        <v>-314489081.27999997</v>
      </c>
      <c r="F331" s="177">
        <f t="shared" si="100"/>
        <v>-164916983.36000001</v>
      </c>
      <c r="G331" s="177">
        <f t="shared" si="100"/>
        <v>219400861.31000054</v>
      </c>
      <c r="H331" s="177">
        <f t="shared" si="100"/>
        <v>73520814.470000029</v>
      </c>
      <c r="I331" s="177">
        <f t="shared" si="100"/>
        <v>292921675.77999955</v>
      </c>
      <c r="J331" s="178" t="s">
        <v>421</v>
      </c>
    </row>
    <row r="332" spans="1:10" ht="15" thickTop="1" x14ac:dyDescent="0.3">
      <c r="J332" s="109"/>
    </row>
    <row r="333" spans="1:10" x14ac:dyDescent="0.3">
      <c r="A333" s="165">
        <v>0</v>
      </c>
      <c r="B333" s="165">
        <v>0</v>
      </c>
      <c r="C333" s="165">
        <v>0</v>
      </c>
      <c r="D333" s="165">
        <v>0</v>
      </c>
      <c r="E333" s="165">
        <v>0</v>
      </c>
      <c r="F333" s="165">
        <v>0</v>
      </c>
      <c r="G333" s="165">
        <v>0</v>
      </c>
      <c r="H333" s="165">
        <v>0</v>
      </c>
      <c r="I333" s="165"/>
      <c r="J333" s="109"/>
    </row>
    <row r="334" spans="1:10" x14ac:dyDescent="0.3">
      <c r="B334" s="165"/>
      <c r="C334" s="165"/>
      <c r="D334" s="165"/>
      <c r="E334" s="165"/>
      <c r="F334" s="165"/>
      <c r="G334" s="165"/>
      <c r="H334" s="165"/>
      <c r="I334" s="16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workbookViewId="0">
      <pane xSplit="1" ySplit="5" topLeftCell="B6" activePane="bottomRight" state="frozen"/>
      <selection activeCell="D74" sqref="D74"/>
      <selection pane="topRight" activeCell="D74" sqref="D74"/>
      <selection pane="bottomLeft" activeCell="D74" sqref="D74"/>
      <selection pane="bottomRight" activeCell="D48" sqref="D48"/>
    </sheetView>
  </sheetViews>
  <sheetFormatPr defaultColWidth="9.109375" defaultRowHeight="14.4" x14ac:dyDescent="0.3"/>
  <cols>
    <col min="1" max="1" width="40" style="4" bestFit="1" customWidth="1"/>
    <col min="2" max="2" width="17.5546875" style="38" customWidth="1"/>
    <col min="3" max="4" width="15.44140625" style="38" customWidth="1"/>
    <col min="5" max="5" width="14.44140625" style="38" customWidth="1"/>
    <col min="6" max="6" width="15" style="38" bestFit="1" customWidth="1"/>
    <col min="7" max="7" width="9.109375" style="38"/>
    <col min="8" max="8" width="32.44140625" style="38" customWidth="1"/>
    <col min="9" max="10" width="9.109375" style="38"/>
    <col min="11" max="16384" width="9.109375" style="4"/>
  </cols>
  <sheetData>
    <row r="1" spans="1:7" s="4" customFormat="1" ht="18" customHeight="1" x14ac:dyDescent="0.3">
      <c r="A1" s="36" t="s">
        <v>349</v>
      </c>
      <c r="B1" s="56"/>
      <c r="C1" s="56"/>
      <c r="D1" s="56"/>
      <c r="E1" s="56"/>
      <c r="F1" s="56"/>
      <c r="G1" s="38"/>
    </row>
    <row r="2" spans="1:7" s="4" customFormat="1" ht="18" customHeight="1" x14ac:dyDescent="0.3">
      <c r="A2" s="36" t="s">
        <v>351</v>
      </c>
      <c r="B2" s="56"/>
      <c r="C2" s="56"/>
      <c r="D2" s="56"/>
      <c r="E2" s="56"/>
      <c r="F2" s="56"/>
      <c r="G2" s="38"/>
    </row>
    <row r="3" spans="1:7" s="4" customFormat="1" ht="18" customHeight="1" x14ac:dyDescent="0.3">
      <c r="A3" s="36" t="str">
        <f>'Allocated (CBR)'!A3</f>
        <v>FOR THE YEAR ENDED DECEMBER 31, 2019</v>
      </c>
      <c r="B3" s="56"/>
      <c r="C3" s="56"/>
      <c r="D3" s="56"/>
      <c r="E3" s="56"/>
      <c r="F3" s="56"/>
      <c r="G3" s="38"/>
    </row>
    <row r="4" spans="1:7" s="4" customFormat="1" ht="12" customHeight="1" x14ac:dyDescent="0.3">
      <c r="B4" s="38"/>
      <c r="C4" s="38"/>
      <c r="D4" s="38"/>
      <c r="E4" s="38"/>
      <c r="F4" s="38"/>
      <c r="G4" s="38"/>
    </row>
    <row r="5" spans="1:7" s="4" customFormat="1" ht="18" customHeight="1" x14ac:dyDescent="0.3">
      <c r="A5" s="2"/>
      <c r="B5" s="55" t="s">
        <v>34</v>
      </c>
      <c r="C5" s="55" t="s">
        <v>33</v>
      </c>
      <c r="D5" s="55" t="s">
        <v>35</v>
      </c>
      <c r="E5" s="55" t="s">
        <v>350</v>
      </c>
      <c r="F5" s="54" t="s">
        <v>347</v>
      </c>
      <c r="G5" s="38"/>
    </row>
    <row r="6" spans="1:7" s="4" customFormat="1" ht="18" customHeight="1" x14ac:dyDescent="0.3">
      <c r="A6" s="53" t="s">
        <v>32</v>
      </c>
      <c r="B6" s="52"/>
      <c r="C6" s="52"/>
      <c r="D6" s="52"/>
      <c r="E6" s="52"/>
      <c r="F6" s="51"/>
      <c r="G6" s="38"/>
    </row>
    <row r="7" spans="1:7" s="4" customFormat="1" ht="18" customHeight="1" x14ac:dyDescent="0.3">
      <c r="A7" s="17" t="s">
        <v>346</v>
      </c>
      <c r="B7" s="29"/>
      <c r="C7" s="29"/>
      <c r="D7" s="29"/>
      <c r="E7" s="29"/>
      <c r="F7" s="6"/>
      <c r="G7" s="38"/>
    </row>
    <row r="8" spans="1:7" s="4" customFormat="1" ht="18" customHeight="1" x14ac:dyDescent="0.3">
      <c r="A8" s="14" t="s">
        <v>31</v>
      </c>
      <c r="B8" s="16">
        <f>'Unallocated Detail (CBR)'!B18</f>
        <v>2127052953.75</v>
      </c>
      <c r="C8" s="16">
        <f>'Unallocated Detail (CBR)'!C18</f>
        <v>885869830.97000003</v>
      </c>
      <c r="D8" s="16">
        <f>'Unallocated Detail (CBR)'!D18</f>
        <v>0</v>
      </c>
      <c r="E8" s="16">
        <v>0</v>
      </c>
      <c r="F8" s="15">
        <f>SUM(B8:E8)</f>
        <v>3012922784.7200003</v>
      </c>
      <c r="G8" s="39"/>
    </row>
    <row r="9" spans="1:7" s="4" customFormat="1" ht="18" customHeight="1" x14ac:dyDescent="0.3">
      <c r="A9" s="14" t="s">
        <v>30</v>
      </c>
      <c r="B9" s="47">
        <f>'Unallocated Detail (CBR)'!B21</f>
        <v>351395.68</v>
      </c>
      <c r="C9" s="47">
        <f>'Unallocated Detail (CBR)'!C21</f>
        <v>0</v>
      </c>
      <c r="D9" s="47">
        <f>'Unallocated Detail (CBR)'!D21</f>
        <v>0</v>
      </c>
      <c r="E9" s="47">
        <v>0</v>
      </c>
      <c r="F9" s="23">
        <f>SUM(B9:E9)</f>
        <v>351395.68</v>
      </c>
      <c r="G9" s="39"/>
    </row>
    <row r="10" spans="1:7" s="4" customFormat="1" ht="18" customHeight="1" x14ac:dyDescent="0.3">
      <c r="A10" s="14" t="s">
        <v>29</v>
      </c>
      <c r="B10" s="47">
        <f>'Unallocated Detail (CBR)'!B25</f>
        <v>196946670</v>
      </c>
      <c r="C10" s="47">
        <f>'Unallocated Detail (CBR)'!C25</f>
        <v>0</v>
      </c>
      <c r="D10" s="47">
        <f>'Unallocated Detail (CBR)'!D25</f>
        <v>0</v>
      </c>
      <c r="E10" s="47">
        <v>0</v>
      </c>
      <c r="F10" s="23">
        <f>SUM(B10:E10)</f>
        <v>196946670</v>
      </c>
      <c r="G10" s="39"/>
    </row>
    <row r="11" spans="1:7" s="4" customFormat="1" ht="18" customHeight="1" x14ac:dyDescent="0.3">
      <c r="A11" s="14" t="s">
        <v>28</v>
      </c>
      <c r="B11" s="27">
        <f>'Unallocated Detail (CBR)'!B40</f>
        <v>191910864.75999999</v>
      </c>
      <c r="C11" s="26">
        <f>'Unallocated Detail (CBR)'!C40</f>
        <v>-10499138.549999999</v>
      </c>
      <c r="D11" s="26">
        <f>'Unallocated Detail (CBR)'!D40</f>
        <v>0</v>
      </c>
      <c r="E11" s="26">
        <v>0</v>
      </c>
      <c r="F11" s="25">
        <f>SUM(B11:E11)</f>
        <v>181411726.20999998</v>
      </c>
      <c r="G11" s="39"/>
    </row>
    <row r="12" spans="1:7" s="4" customFormat="1" ht="18" customHeight="1" x14ac:dyDescent="0.3">
      <c r="A12" s="14" t="s">
        <v>27</v>
      </c>
      <c r="B12" s="16">
        <f>SUM(B8:B11)</f>
        <v>2516261884.1900005</v>
      </c>
      <c r="C12" s="16">
        <f>SUM(C8:C11)</f>
        <v>875370692.42000008</v>
      </c>
      <c r="D12" s="16">
        <f>SUM(D8:D11)</f>
        <v>0</v>
      </c>
      <c r="E12" s="16">
        <f>SUM(E8:E11)</f>
        <v>0</v>
      </c>
      <c r="F12" s="15">
        <f>SUM(F8:F11)</f>
        <v>3391632576.6100001</v>
      </c>
      <c r="G12" s="39"/>
    </row>
    <row r="13" spans="1:7" s="4" customFormat="1" ht="18" customHeight="1" x14ac:dyDescent="0.3">
      <c r="A13" s="17" t="s">
        <v>345</v>
      </c>
      <c r="B13" s="29"/>
      <c r="C13" s="29"/>
      <c r="D13" s="29"/>
      <c r="E13" s="29"/>
      <c r="F13" s="6"/>
      <c r="G13" s="39"/>
    </row>
    <row r="14" spans="1:7" s="4" customFormat="1" ht="18" customHeight="1" x14ac:dyDescent="0.3">
      <c r="A14" s="17" t="s">
        <v>344</v>
      </c>
      <c r="B14" s="29"/>
      <c r="C14" s="29"/>
      <c r="D14" s="29"/>
      <c r="E14" s="29"/>
      <c r="F14" s="6"/>
      <c r="G14" s="39"/>
    </row>
    <row r="15" spans="1:7" s="4" customFormat="1" ht="18" customHeight="1" x14ac:dyDescent="0.3">
      <c r="A15" s="17" t="s">
        <v>343</v>
      </c>
      <c r="B15" s="29"/>
      <c r="C15" s="29"/>
      <c r="D15" s="29"/>
      <c r="E15" s="29"/>
      <c r="F15" s="6"/>
      <c r="G15" s="39"/>
    </row>
    <row r="16" spans="1:7" s="4" customFormat="1" ht="18" customHeight="1" x14ac:dyDescent="0.3">
      <c r="A16" s="17" t="s">
        <v>342</v>
      </c>
      <c r="B16" s="29"/>
      <c r="C16" s="29"/>
      <c r="D16" s="29"/>
      <c r="E16" s="29"/>
      <c r="F16" s="6"/>
      <c r="G16" s="39"/>
    </row>
    <row r="17" spans="1:7" s="4" customFormat="1" ht="18" customHeight="1" x14ac:dyDescent="0.3">
      <c r="A17" s="14" t="s">
        <v>26</v>
      </c>
      <c r="B17" s="16">
        <f>'Unallocated Detail (CBR)'!B47</f>
        <v>282863835.76999998</v>
      </c>
      <c r="C17" s="16">
        <f>'Unallocated Detail (CBR)'!C47</f>
        <v>0</v>
      </c>
      <c r="D17" s="16">
        <f>'Unallocated Detail (CBR)'!D47</f>
        <v>0</v>
      </c>
      <c r="E17" s="16">
        <v>0</v>
      </c>
      <c r="F17" s="15">
        <f>SUM(B17:E17)</f>
        <v>282863835.76999998</v>
      </c>
      <c r="G17" s="39"/>
    </row>
    <row r="18" spans="1:7" s="4" customFormat="1" ht="18" customHeight="1" x14ac:dyDescent="0.3">
      <c r="A18" s="14" t="s">
        <v>25</v>
      </c>
      <c r="B18" s="47">
        <f>'Unallocated Detail (CBR)'!B56</f>
        <v>617085015.54000008</v>
      </c>
      <c r="C18" s="47">
        <f>'Unallocated Detail (CBR)'!C56</f>
        <v>290975876.38999999</v>
      </c>
      <c r="D18" s="47">
        <f>'Unallocated Detail (CBR)'!D56</f>
        <v>0</v>
      </c>
      <c r="E18" s="47">
        <v>0</v>
      </c>
      <c r="F18" s="23">
        <f>SUM(B18:E18)</f>
        <v>908060891.93000007</v>
      </c>
      <c r="G18" s="39"/>
    </row>
    <row r="19" spans="1:7" s="4" customFormat="1" ht="18" customHeight="1" x14ac:dyDescent="0.3">
      <c r="A19" s="14" t="s">
        <v>24</v>
      </c>
      <c r="B19" s="47">
        <f>'Unallocated Detail (CBR)'!B59</f>
        <v>121674523.33</v>
      </c>
      <c r="C19" s="47">
        <f>'Unallocated Detail (CBR)'!C59</f>
        <v>0</v>
      </c>
      <c r="D19" s="47">
        <f>'Unallocated Detail (CBR)'!D59</f>
        <v>0</v>
      </c>
      <c r="E19" s="47">
        <v>0</v>
      </c>
      <c r="F19" s="23">
        <f>SUM(B19:E19)</f>
        <v>121674523.33</v>
      </c>
      <c r="G19" s="39"/>
    </row>
    <row r="20" spans="1:7" s="4" customFormat="1" ht="18" customHeight="1" x14ac:dyDescent="0.3">
      <c r="A20" s="14" t="s">
        <v>23</v>
      </c>
      <c r="B20" s="27">
        <f>'Unallocated Detail (CBR)'!B62</f>
        <v>-79186637.340000004</v>
      </c>
      <c r="C20" s="26">
        <f>'Unallocated Detail (CBR)'!C62</f>
        <v>0</v>
      </c>
      <c r="D20" s="26">
        <f>'Unallocated Detail (CBR)'!D62</f>
        <v>0</v>
      </c>
      <c r="E20" s="26">
        <v>0</v>
      </c>
      <c r="F20" s="25">
        <f>SUM(B20:E20)</f>
        <v>-79186637.340000004</v>
      </c>
      <c r="G20" s="39"/>
    </row>
    <row r="21" spans="1:7" s="4" customFormat="1" ht="18" customHeight="1" x14ac:dyDescent="0.3">
      <c r="A21" s="14" t="s">
        <v>22</v>
      </c>
      <c r="B21" s="16">
        <f>SUM(B17:B20)</f>
        <v>942436737.30000007</v>
      </c>
      <c r="C21" s="16">
        <f>SUM(C17:C20)</f>
        <v>290975876.38999999</v>
      </c>
      <c r="D21" s="16">
        <f>SUM(D17:D20)</f>
        <v>0</v>
      </c>
      <c r="E21" s="16">
        <f>SUM(E17:E20)</f>
        <v>0</v>
      </c>
      <c r="F21" s="15">
        <f>SUM(F17:F20)</f>
        <v>1233412613.6900001</v>
      </c>
      <c r="G21" s="39"/>
    </row>
    <row r="22" spans="1:7" s="4" customFormat="1" ht="18" customHeight="1" x14ac:dyDescent="0.3">
      <c r="A22" s="17" t="s">
        <v>341</v>
      </c>
      <c r="B22" s="29"/>
      <c r="C22" s="29"/>
      <c r="D22" s="29"/>
      <c r="E22" s="29"/>
      <c r="F22" s="6"/>
      <c r="G22" s="39"/>
    </row>
    <row r="23" spans="1:7" s="4" customFormat="1" ht="18" customHeight="1" x14ac:dyDescent="0.3">
      <c r="A23" s="14" t="s">
        <v>21</v>
      </c>
      <c r="B23" s="16">
        <f>'Unallocated Detail (CBR)'!B138</f>
        <v>124385512.12999998</v>
      </c>
      <c r="C23" s="16">
        <f>'Unallocated Detail (CBR)'!C138</f>
        <v>6350033.2799999984</v>
      </c>
      <c r="D23" s="16">
        <f>'Unallocated Detail (CBR)'!D138</f>
        <v>0</v>
      </c>
      <c r="E23" s="16">
        <v>0</v>
      </c>
      <c r="F23" s="15">
        <f t="shared" ref="F23:F37" si="0">SUM(B23:E23)</f>
        <v>130735545.40999998</v>
      </c>
      <c r="G23" s="39"/>
    </row>
    <row r="24" spans="1:7" s="4" customFormat="1" ht="18" customHeight="1" x14ac:dyDescent="0.3">
      <c r="A24" s="14" t="s">
        <v>20</v>
      </c>
      <c r="B24" s="48">
        <f>'Unallocated Detail (CBR)'!B168</f>
        <v>24120987.529999997</v>
      </c>
      <c r="C24" s="47">
        <f>'Unallocated Detail (CBR)'!C168</f>
        <v>0</v>
      </c>
      <c r="D24" s="47">
        <f>'Unallocated Detail (CBR)'!D168</f>
        <v>0</v>
      </c>
      <c r="E24" s="47">
        <v>0</v>
      </c>
      <c r="F24" s="23">
        <f t="shared" si="0"/>
        <v>24120987.529999997</v>
      </c>
      <c r="G24" s="39"/>
    </row>
    <row r="25" spans="1:7" s="4" customFormat="1" ht="18" customHeight="1" x14ac:dyDescent="0.3">
      <c r="A25" s="14" t="s">
        <v>19</v>
      </c>
      <c r="B25" s="48">
        <f>'Unallocated Detail (CBR)'!B206</f>
        <v>80879041.140000001</v>
      </c>
      <c r="C25" s="29">
        <f>'Unallocated Detail (CBR)'!C206</f>
        <v>56478736.410000011</v>
      </c>
      <c r="D25" s="29">
        <f>'Unallocated Detail (CBR)'!D206</f>
        <v>0</v>
      </c>
      <c r="E25" s="47">
        <v>0</v>
      </c>
      <c r="F25" s="23">
        <f t="shared" si="0"/>
        <v>137357777.55000001</v>
      </c>
      <c r="G25" s="39"/>
    </row>
    <row r="26" spans="1:7" s="4" customFormat="1" ht="18" customHeight="1" x14ac:dyDescent="0.3">
      <c r="A26" s="22" t="s">
        <v>18</v>
      </c>
      <c r="B26" s="48">
        <f>'Unallocated Detail (CBR)'!B213</f>
        <v>28030653.870000001</v>
      </c>
      <c r="C26" s="29">
        <f>'Unallocated Detail (CBR)'!C213</f>
        <v>12840775.930000002</v>
      </c>
      <c r="D26" s="29">
        <f>'Unallocated Detail (CBR)'!D213</f>
        <v>38708928.899999999</v>
      </c>
      <c r="E26" s="47">
        <v>0</v>
      </c>
      <c r="F26" s="23">
        <f t="shared" si="0"/>
        <v>79580358.700000003</v>
      </c>
      <c r="G26" s="39"/>
    </row>
    <row r="27" spans="1:7" s="4" customFormat="1" ht="18" customHeight="1" x14ac:dyDescent="0.3">
      <c r="A27" s="14" t="s">
        <v>17</v>
      </c>
      <c r="B27" s="48">
        <f>'Unallocated Detail (CBR)'!B222</f>
        <v>20237238.09</v>
      </c>
      <c r="C27" s="29">
        <f>'Unallocated Detail (CBR)'!C222</f>
        <v>4966416.93</v>
      </c>
      <c r="D27" s="29">
        <f>'Unallocated Detail (CBR)'!D222</f>
        <v>3320720.62</v>
      </c>
      <c r="E27" s="47">
        <v>0</v>
      </c>
      <c r="F27" s="23">
        <f t="shared" si="0"/>
        <v>28524375.640000001</v>
      </c>
      <c r="G27" s="39"/>
    </row>
    <row r="28" spans="1:7" s="4" customFormat="1" ht="18" customHeight="1" x14ac:dyDescent="0.3">
      <c r="A28" s="14" t="s">
        <v>16</v>
      </c>
      <c r="B28" s="48">
        <f>'Unallocated Detail (CBR)'!B225</f>
        <v>80695343.090000004</v>
      </c>
      <c r="C28" s="29">
        <f>'Unallocated Detail (CBR)'!C225</f>
        <v>15875501.359999999</v>
      </c>
      <c r="D28" s="29">
        <f>'Unallocated Detail (CBR)'!D225</f>
        <v>0</v>
      </c>
      <c r="E28" s="47">
        <v>0</v>
      </c>
      <c r="F28" s="23">
        <f t="shared" si="0"/>
        <v>96570844.450000003</v>
      </c>
      <c r="G28" s="39"/>
    </row>
    <row r="29" spans="1:7" s="4" customFormat="1" ht="18" customHeight="1" x14ac:dyDescent="0.3">
      <c r="A29" s="22" t="s">
        <v>15</v>
      </c>
      <c r="B29" s="48">
        <f>'Unallocated Detail (CBR)'!B240</f>
        <v>44566171.999999993</v>
      </c>
      <c r="C29" s="29">
        <f>'Unallocated Detail (CBR)'!C240</f>
        <v>14143848.459999999</v>
      </c>
      <c r="D29" s="29">
        <f>'Unallocated Detail (CBR)'!D240</f>
        <v>130656718.23</v>
      </c>
      <c r="E29" s="47">
        <v>0</v>
      </c>
      <c r="F29" s="23">
        <f t="shared" si="0"/>
        <v>189366738.69</v>
      </c>
      <c r="G29" s="39"/>
    </row>
    <row r="30" spans="1:7" s="4" customFormat="1" ht="18" customHeight="1" x14ac:dyDescent="0.3">
      <c r="A30" s="14" t="s">
        <v>14</v>
      </c>
      <c r="B30" s="48">
        <f>'Unallocated Detail (CBR)'!B247</f>
        <v>334160147.49000001</v>
      </c>
      <c r="C30" s="29">
        <f>'Unallocated Detail (CBR)'!C247</f>
        <v>115298994.32000001</v>
      </c>
      <c r="D30" s="29">
        <f>'Unallocated Detail (CBR)'!D247</f>
        <v>28857813.609999999</v>
      </c>
      <c r="E30" s="47">
        <v>0</v>
      </c>
      <c r="F30" s="23">
        <f t="shared" si="0"/>
        <v>478316955.42000002</v>
      </c>
      <c r="G30" s="39"/>
    </row>
    <row r="31" spans="1:7" s="4" customFormat="1" ht="18" customHeight="1" x14ac:dyDescent="0.3">
      <c r="A31" s="14" t="s">
        <v>13</v>
      </c>
      <c r="B31" s="48">
        <f>'Unallocated Detail (CBR)'!B252</f>
        <v>31899957.219999999</v>
      </c>
      <c r="C31" s="29">
        <f>'Unallocated Detail (CBR)'!C252</f>
        <v>3842096.5300000003</v>
      </c>
      <c r="D31" s="29">
        <f>'Unallocated Detail (CBR)'!D252</f>
        <v>100867612.19</v>
      </c>
      <c r="E31" s="47">
        <v>0</v>
      </c>
      <c r="F31" s="23">
        <f t="shared" si="0"/>
        <v>136609665.94</v>
      </c>
      <c r="G31" s="39"/>
    </row>
    <row r="32" spans="1:7" s="4" customFormat="1" ht="18" customHeight="1" x14ac:dyDescent="0.3">
      <c r="A32" s="14" t="s">
        <v>12</v>
      </c>
      <c r="B32" s="48">
        <f>'Unallocated Detail (CBR)'!B255</f>
        <v>31893438.41</v>
      </c>
      <c r="C32" s="47">
        <f>'Unallocated Detail (CBR)'!C255</f>
        <v>0</v>
      </c>
      <c r="D32" s="47">
        <f>'Unallocated Detail (CBR)'!D255</f>
        <v>0</v>
      </c>
      <c r="E32" s="47">
        <v>0</v>
      </c>
      <c r="F32" s="23">
        <f t="shared" si="0"/>
        <v>31893438.41</v>
      </c>
      <c r="G32" s="39"/>
    </row>
    <row r="33" spans="1:8" s="4" customFormat="1" ht="18" customHeight="1" x14ac:dyDescent="0.3">
      <c r="A33" s="22" t="s">
        <v>11</v>
      </c>
      <c r="B33" s="48">
        <f>'Unallocated Detail (CBR)'!B263</f>
        <v>-42330554.890000001</v>
      </c>
      <c r="C33" s="29">
        <f>'Unallocated Detail (CBR)'!C263</f>
        <v>4775059.05</v>
      </c>
      <c r="D33" s="29">
        <f>'Unallocated Detail (CBR)'!D263</f>
        <v>-21666891</v>
      </c>
      <c r="E33" s="47">
        <v>0</v>
      </c>
      <c r="F33" s="23">
        <f t="shared" si="0"/>
        <v>-59222386.840000004</v>
      </c>
      <c r="G33" s="39"/>
      <c r="H33" s="38"/>
    </row>
    <row r="34" spans="1:8" s="4" customFormat="1" ht="18" customHeight="1" x14ac:dyDescent="0.3">
      <c r="A34" s="22" t="s">
        <v>340</v>
      </c>
      <c r="B34" s="48">
        <f>'Unallocated Detail (CBR)'!B267</f>
        <v>3574274.1599999992</v>
      </c>
      <c r="C34" s="47">
        <f>'Unallocated Detail (CBR)'!C267</f>
        <v>0</v>
      </c>
      <c r="D34" s="47">
        <f>'Unallocated Detail (CBR)'!D267</f>
        <v>0</v>
      </c>
      <c r="E34" s="47">
        <v>0</v>
      </c>
      <c r="F34" s="23">
        <f t="shared" si="0"/>
        <v>3574274.1599999992</v>
      </c>
      <c r="G34" s="39"/>
      <c r="H34" s="38"/>
    </row>
    <row r="35" spans="1:8" s="4" customFormat="1" ht="18" customHeight="1" x14ac:dyDescent="0.3">
      <c r="A35" s="14" t="s">
        <v>10</v>
      </c>
      <c r="B35" s="48">
        <f>'Unallocated Detail (CBR)'!B272</f>
        <v>228225816.19</v>
      </c>
      <c r="C35" s="29">
        <f>'Unallocated Detail (CBR)'!C272</f>
        <v>96961906.310000002</v>
      </c>
      <c r="D35" s="29">
        <f>'Unallocated Detail (CBR)'!D272</f>
        <v>6381188.3700000001</v>
      </c>
      <c r="E35" s="47">
        <v>0</v>
      </c>
      <c r="F35" s="23">
        <f t="shared" si="0"/>
        <v>331568910.87</v>
      </c>
      <c r="G35" s="39"/>
      <c r="H35" s="38"/>
    </row>
    <row r="36" spans="1:8" s="4" customFormat="1" ht="18" customHeight="1" x14ac:dyDescent="0.3">
      <c r="A36" s="14" t="s">
        <v>9</v>
      </c>
      <c r="B36" s="48">
        <f>'Unallocated Detail (CBR)'!B277</f>
        <v>31409079.400000002</v>
      </c>
      <c r="C36" s="47">
        <f>'Unallocated Detail (CBR)'!C277</f>
        <v>33388225.969999999</v>
      </c>
      <c r="D36" s="47">
        <f>'Unallocated Detail (CBR)'!D277</f>
        <v>0</v>
      </c>
      <c r="E36" s="47">
        <v>0</v>
      </c>
      <c r="F36" s="23">
        <f t="shared" si="0"/>
        <v>64797305.370000005</v>
      </c>
      <c r="G36" s="39"/>
      <c r="H36" s="38"/>
    </row>
    <row r="37" spans="1:8" s="4" customFormat="1" ht="18" customHeight="1" x14ac:dyDescent="0.3">
      <c r="A37" s="14" t="s">
        <v>8</v>
      </c>
      <c r="B37" s="27">
        <f>'Unallocated Detail (CBR)'!B282</f>
        <v>28520415.180000007</v>
      </c>
      <c r="C37" s="50">
        <f>'Unallocated Detail (CBR)'!C282</f>
        <v>-6381211.9799999967</v>
      </c>
      <c r="D37" s="50">
        <f>'Unallocated Detail (CBR)'!D282</f>
        <v>0</v>
      </c>
      <c r="E37" s="26">
        <v>0</v>
      </c>
      <c r="F37" s="25">
        <f t="shared" si="0"/>
        <v>22139203.20000001</v>
      </c>
      <c r="G37" s="39"/>
      <c r="H37" s="38"/>
    </row>
    <row r="38" spans="1:8" s="4" customFormat="1" ht="18" customHeight="1" x14ac:dyDescent="0.3">
      <c r="A38" s="17" t="s">
        <v>7</v>
      </c>
      <c r="B38" s="16">
        <f>SUM(B21:B37)</f>
        <v>1992704258.3100002</v>
      </c>
      <c r="C38" s="16">
        <f>SUM(C21:C37)</f>
        <v>649516258.96000004</v>
      </c>
      <c r="D38" s="16">
        <f>SUM(D21:D37)</f>
        <v>287126090.92000002</v>
      </c>
      <c r="E38" s="16">
        <f>SUM(E21:E37)</f>
        <v>0</v>
      </c>
      <c r="F38" s="15">
        <f>SUM(F21:F37)</f>
        <v>2929346608.1899996</v>
      </c>
      <c r="G38" s="39"/>
      <c r="H38" s="38"/>
    </row>
    <row r="39" spans="1:8" s="4" customFormat="1" ht="12" customHeight="1" x14ac:dyDescent="0.3">
      <c r="A39" s="14"/>
      <c r="B39" s="29"/>
      <c r="C39" s="29"/>
      <c r="D39" s="29"/>
      <c r="E39" s="29"/>
      <c r="F39" s="6"/>
      <c r="G39" s="39"/>
      <c r="H39" s="38"/>
    </row>
    <row r="40" spans="1:8" s="4" customFormat="1" ht="18" customHeight="1" x14ac:dyDescent="0.3">
      <c r="A40" s="11" t="s">
        <v>6</v>
      </c>
      <c r="B40" s="16">
        <f>B12-B38</f>
        <v>523557625.88000035</v>
      </c>
      <c r="C40" s="16">
        <f>C12-C38</f>
        <v>225854433.46000004</v>
      </c>
      <c r="D40" s="16">
        <f>D12-D38</f>
        <v>-287126090.92000002</v>
      </c>
      <c r="E40" s="16">
        <f>E12-E38</f>
        <v>0</v>
      </c>
      <c r="F40" s="138">
        <f>F12-F38</f>
        <v>462285968.42000055</v>
      </c>
      <c r="G40" s="39"/>
      <c r="H40" s="49"/>
    </row>
    <row r="41" spans="1:8" s="4" customFormat="1" ht="13.5" customHeight="1" x14ac:dyDescent="0.3">
      <c r="A41" s="14"/>
      <c r="B41" s="29"/>
      <c r="C41" s="29"/>
      <c r="D41" s="29"/>
      <c r="E41" s="29"/>
      <c r="F41" s="6"/>
      <c r="G41" s="39"/>
      <c r="H41" s="38"/>
    </row>
    <row r="42" spans="1:8" s="4" customFormat="1" ht="18" customHeight="1" x14ac:dyDescent="0.3">
      <c r="A42" s="11" t="s">
        <v>5</v>
      </c>
      <c r="B42" s="29"/>
      <c r="C42" s="29"/>
      <c r="D42" s="29"/>
      <c r="E42" s="29"/>
      <c r="F42" s="6"/>
      <c r="G42" s="39"/>
      <c r="H42" s="38"/>
    </row>
    <row r="43" spans="1:8" s="4" customFormat="1" ht="18" customHeight="1" x14ac:dyDescent="0.3">
      <c r="A43" s="14" t="s">
        <v>4</v>
      </c>
      <c r="B43" s="16">
        <v>0</v>
      </c>
      <c r="C43" s="16">
        <v>0</v>
      </c>
      <c r="D43" s="16">
        <v>0</v>
      </c>
      <c r="E43" s="16">
        <f>'Unallocated Detail (CBR)'!I312</f>
        <v>-59854874.62999998</v>
      </c>
      <c r="F43" s="15">
        <f>SUM(B43:E43)</f>
        <v>-59854874.62999998</v>
      </c>
      <c r="G43" s="39"/>
      <c r="H43" s="38"/>
    </row>
    <row r="44" spans="1:8" s="4" customFormat="1" ht="18" customHeight="1" x14ac:dyDescent="0.3">
      <c r="A44" s="46" t="s">
        <v>3</v>
      </c>
      <c r="B44" s="48">
        <v>0</v>
      </c>
      <c r="C44" s="47">
        <v>0</v>
      </c>
      <c r="D44" s="47">
        <v>0</v>
      </c>
      <c r="E44" s="47">
        <f>'Unallocated Detail (CBR)'!I323</f>
        <v>229219167.27000001</v>
      </c>
      <c r="F44" s="23">
        <f>SUM(B44:E44)</f>
        <v>229219167.27000001</v>
      </c>
      <c r="G44" s="39"/>
      <c r="H44" s="38"/>
    </row>
    <row r="45" spans="1:8" s="4" customFormat="1" ht="18" customHeight="1" x14ac:dyDescent="0.3">
      <c r="A45" s="46" t="s">
        <v>2</v>
      </c>
      <c r="B45" s="27">
        <v>0</v>
      </c>
      <c r="C45" s="26">
        <v>0</v>
      </c>
      <c r="D45" s="26">
        <v>0</v>
      </c>
      <c r="E45" s="26">
        <f>'Unallocated Detail (CBR)'!I327</f>
        <v>0</v>
      </c>
      <c r="F45" s="25">
        <v>0</v>
      </c>
      <c r="G45" s="39"/>
      <c r="H45" s="38"/>
    </row>
    <row r="46" spans="1:8" s="4" customFormat="1" ht="18" customHeight="1" x14ac:dyDescent="0.3">
      <c r="A46" s="11" t="s">
        <v>1</v>
      </c>
      <c r="B46" s="16">
        <f>SUM(B43:B45)</f>
        <v>0</v>
      </c>
      <c r="C46" s="16">
        <f>SUM(C43:C45)</f>
        <v>0</v>
      </c>
      <c r="D46" s="16">
        <f>SUM(D43:D45)</f>
        <v>0</v>
      </c>
      <c r="E46" s="16">
        <f>SUM(E43:E45)</f>
        <v>169364292.64000005</v>
      </c>
      <c r="F46" s="15">
        <f>SUM(F43:F45)</f>
        <v>169364292.64000005</v>
      </c>
      <c r="G46" s="39"/>
      <c r="H46" s="38"/>
    </row>
    <row r="47" spans="1:8" s="4" customFormat="1" ht="18" customHeight="1" x14ac:dyDescent="0.3">
      <c r="A47" s="14"/>
      <c r="B47" s="29"/>
      <c r="C47" s="29"/>
      <c r="D47" s="29"/>
      <c r="E47" s="29"/>
      <c r="F47" s="6"/>
      <c r="G47" s="39"/>
      <c r="H47" s="38"/>
    </row>
    <row r="48" spans="1:8" s="4" customFormat="1" ht="18" customHeight="1" x14ac:dyDescent="0.55000000000000004">
      <c r="A48" s="45" t="s">
        <v>0</v>
      </c>
      <c r="B48" s="44">
        <f>B40-B46</f>
        <v>523557625.88000035</v>
      </c>
      <c r="C48" s="44">
        <f>C40-C46</f>
        <v>225854433.46000004</v>
      </c>
      <c r="D48" s="179">
        <f>D40-D46</f>
        <v>-287126090.92000002</v>
      </c>
      <c r="E48" s="44">
        <f>E40-E46</f>
        <v>-169364292.64000005</v>
      </c>
      <c r="F48" s="43">
        <f>F40-F46</f>
        <v>292921675.78000051</v>
      </c>
      <c r="G48" s="39"/>
      <c r="H48" s="38"/>
    </row>
    <row r="49" spans="1:10" ht="9.9" customHeight="1" x14ac:dyDescent="0.3">
      <c r="A49" s="42"/>
      <c r="B49" s="41"/>
      <c r="C49" s="41"/>
      <c r="D49" s="41"/>
      <c r="E49" s="41"/>
      <c r="F49" s="40"/>
      <c r="G49" s="39"/>
      <c r="H49" s="4"/>
      <c r="I49" s="4"/>
      <c r="J49" s="4"/>
    </row>
    <row r="50" spans="1:10" ht="18" customHeight="1" x14ac:dyDescent="0.3">
      <c r="G50" s="39"/>
      <c r="H50" s="4"/>
      <c r="I50" s="4"/>
      <c r="J50" s="4"/>
    </row>
    <row r="51" spans="1:10" ht="18" customHeight="1" x14ac:dyDescent="0.3">
      <c r="G51" s="39"/>
      <c r="H51" s="4"/>
      <c r="I51" s="4"/>
      <c r="J51" s="4"/>
    </row>
    <row r="52" spans="1:10" ht="18" customHeight="1" x14ac:dyDescent="0.3">
      <c r="G52" s="39"/>
      <c r="H52" s="4"/>
      <c r="I52" s="4"/>
      <c r="J52" s="4"/>
    </row>
    <row r="53" spans="1:10" ht="18" customHeight="1" x14ac:dyDescent="0.3">
      <c r="G53" s="39"/>
      <c r="H53" s="4"/>
      <c r="I53" s="4"/>
      <c r="J53" s="4"/>
    </row>
    <row r="54" spans="1:10" ht="18" customHeight="1" x14ac:dyDescent="0.3">
      <c r="G54" s="39"/>
      <c r="H54" s="4"/>
      <c r="I54" s="4"/>
      <c r="J54" s="4"/>
    </row>
    <row r="55" spans="1:10" ht="18" customHeight="1" x14ac:dyDescent="0.3">
      <c r="G55" s="39"/>
      <c r="H55" s="4"/>
      <c r="I55" s="4"/>
      <c r="J55" s="4"/>
    </row>
    <row r="56" spans="1:10" ht="18" customHeight="1" x14ac:dyDescent="0.3">
      <c r="G56" s="39"/>
      <c r="H56" s="4"/>
      <c r="I56" s="4"/>
      <c r="J56" s="4"/>
    </row>
    <row r="57" spans="1:10" ht="18" customHeight="1" x14ac:dyDescent="0.3">
      <c r="G57" s="39"/>
      <c r="H57" s="4"/>
      <c r="I57" s="4"/>
      <c r="J57" s="4"/>
    </row>
    <row r="58" spans="1:10" ht="18" customHeight="1" x14ac:dyDescent="0.3">
      <c r="G58" s="39"/>
      <c r="H58" s="4"/>
      <c r="I58" s="4"/>
      <c r="J58" s="4"/>
    </row>
    <row r="59" spans="1:10" ht="18" customHeight="1" x14ac:dyDescent="0.3">
      <c r="G59" s="39"/>
      <c r="H59" s="4"/>
      <c r="I59" s="4"/>
      <c r="J59" s="4"/>
    </row>
    <row r="60" spans="1:10" ht="18" customHeight="1" x14ac:dyDescent="0.3">
      <c r="B60" s="4"/>
      <c r="C60" s="4"/>
      <c r="D60" s="4"/>
      <c r="E60" s="4"/>
      <c r="F60" s="4"/>
      <c r="G60" s="39"/>
      <c r="H60" s="4"/>
      <c r="I60" s="4"/>
      <c r="J60" s="4"/>
    </row>
    <row r="61" spans="1:10" ht="18" customHeight="1" x14ac:dyDescent="0.3">
      <c r="B61" s="4"/>
      <c r="C61" s="4"/>
      <c r="D61" s="4"/>
      <c r="E61" s="4"/>
      <c r="F61" s="4"/>
      <c r="G61" s="39"/>
      <c r="H61" s="4"/>
      <c r="I61" s="4"/>
      <c r="J61" s="4"/>
    </row>
    <row r="62" spans="1:10" ht="18" customHeight="1" x14ac:dyDescent="0.3">
      <c r="B62" s="4"/>
      <c r="C62" s="4"/>
      <c r="D62" s="4"/>
      <c r="E62" s="4"/>
      <c r="F62" s="4"/>
      <c r="G62" s="39"/>
      <c r="H62" s="4"/>
      <c r="I62" s="4"/>
      <c r="J62" s="4"/>
    </row>
    <row r="63" spans="1:10" ht="18" customHeight="1" x14ac:dyDescent="0.3">
      <c r="B63" s="4"/>
      <c r="C63" s="4"/>
      <c r="D63" s="4"/>
      <c r="E63" s="4"/>
      <c r="F63" s="4"/>
      <c r="G63" s="39"/>
      <c r="H63" s="4"/>
      <c r="I63" s="4"/>
      <c r="J63" s="4"/>
    </row>
    <row r="64" spans="1:10" ht="18" customHeight="1" x14ac:dyDescent="0.3">
      <c r="B64" s="4"/>
      <c r="C64" s="4"/>
      <c r="D64" s="4"/>
      <c r="E64" s="4"/>
      <c r="F64" s="4"/>
      <c r="G64" s="39"/>
      <c r="H64" s="4"/>
      <c r="I64" s="4"/>
      <c r="J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0"/>
  <sheetViews>
    <sheetView zoomScaleNormal="100" workbookViewId="0">
      <pane xSplit="2" ySplit="7" topLeftCell="C68" activePane="bottomRight" state="frozen"/>
      <selection activeCell="A44" sqref="A44"/>
      <selection pane="topRight" activeCell="A44" sqref="A44"/>
      <selection pane="bottomLeft" activeCell="A44" sqref="A44"/>
      <selection pane="bottomRight" activeCell="F74" sqref="F74"/>
    </sheetView>
  </sheetViews>
  <sheetFormatPr defaultColWidth="8.88671875" defaultRowHeight="13.2" x14ac:dyDescent="0.25"/>
  <cols>
    <col min="1" max="1" width="5.44140625" style="184" customWidth="1"/>
    <col min="2" max="2" width="55.5546875" style="184" customWidth="1"/>
    <col min="3" max="3" width="17.44140625" style="184" customWidth="1"/>
    <col min="4" max="4" width="21.5546875" style="184" customWidth="1"/>
    <col min="5" max="5" width="17.109375" style="184" customWidth="1"/>
    <col min="6" max="6" width="13.88671875" style="184" customWidth="1"/>
    <col min="7" max="7" width="13.5546875" style="184" customWidth="1"/>
    <col min="8" max="8" width="16.44140625" style="184" customWidth="1"/>
    <col min="9" max="9" width="8.88671875" style="62" customWidth="1"/>
    <col min="10" max="16384" width="8.88671875" style="62"/>
  </cols>
  <sheetData>
    <row r="1" spans="1:8" ht="15.9" customHeight="1" x14ac:dyDescent="0.25">
      <c r="A1" s="180"/>
      <c r="B1" s="180" t="s">
        <v>349</v>
      </c>
      <c r="C1" s="180"/>
      <c r="D1" s="180"/>
      <c r="E1" s="180"/>
      <c r="F1" s="180"/>
      <c r="G1" s="180"/>
      <c r="H1" s="180"/>
    </row>
    <row r="2" spans="1:8" ht="15.9" customHeight="1" x14ac:dyDescent="0.25">
      <c r="A2" s="151"/>
      <c r="B2" s="151" t="s">
        <v>359</v>
      </c>
      <c r="C2" s="151"/>
      <c r="D2" s="151"/>
      <c r="E2" s="151"/>
      <c r="F2" s="151"/>
      <c r="G2" s="151"/>
      <c r="H2" s="151"/>
    </row>
    <row r="3" spans="1:8" ht="15.9" customHeight="1" x14ac:dyDescent="0.25">
      <c r="A3" s="151"/>
      <c r="B3" s="151" t="str">
        <f>+'Allocated (CBR)'!A3</f>
        <v>FOR THE YEAR ENDED DECEMBER 31, 2019</v>
      </c>
      <c r="C3" s="151"/>
      <c r="D3" s="151"/>
      <c r="E3" s="151"/>
      <c r="F3" s="151"/>
      <c r="G3" s="151"/>
      <c r="H3" s="151"/>
    </row>
    <row r="4" spans="1:8" ht="15" customHeight="1" x14ac:dyDescent="0.25">
      <c r="A4" s="181"/>
      <c r="B4" s="182" t="str">
        <f>'Allocated (CBR)'!A4:A4</f>
        <v>(spread is based on allocation factors developed for the December 2019 CBR)</v>
      </c>
      <c r="C4" s="182"/>
      <c r="D4" s="182"/>
      <c r="E4" s="182"/>
      <c r="F4" s="182"/>
      <c r="G4" s="182"/>
      <c r="H4" s="182"/>
    </row>
    <row r="5" spans="1:8" ht="15.9" customHeight="1" x14ac:dyDescent="0.25">
      <c r="A5" s="181"/>
      <c r="B5" s="183"/>
      <c r="C5" s="183"/>
      <c r="D5" s="183"/>
      <c r="E5" s="183"/>
      <c r="F5" s="183"/>
      <c r="G5" s="183"/>
      <c r="H5" s="183"/>
    </row>
    <row r="6" spans="1:8" ht="10.5" customHeight="1" x14ac:dyDescent="0.25"/>
    <row r="7" spans="1:8" ht="26.4" x14ac:dyDescent="0.25">
      <c r="A7" s="185"/>
      <c r="B7" s="186" t="s">
        <v>360</v>
      </c>
      <c r="C7" s="187" t="s">
        <v>361</v>
      </c>
      <c r="D7" s="187" t="s">
        <v>362</v>
      </c>
      <c r="E7" s="188" t="s">
        <v>363</v>
      </c>
      <c r="F7" s="189" t="s">
        <v>364</v>
      </c>
      <c r="G7" s="190" t="s">
        <v>365</v>
      </c>
      <c r="H7" s="187" t="s">
        <v>35</v>
      </c>
    </row>
    <row r="8" spans="1:8" ht="15.9" customHeight="1" x14ac:dyDescent="0.25">
      <c r="A8" s="191" t="s">
        <v>18</v>
      </c>
      <c r="B8" s="192"/>
      <c r="C8" s="193"/>
      <c r="D8" s="193"/>
      <c r="E8" s="194"/>
      <c r="F8" s="195"/>
      <c r="G8" s="195"/>
      <c r="H8" s="196"/>
    </row>
    <row r="9" spans="1:8" ht="15.9" customHeight="1" x14ac:dyDescent="0.25">
      <c r="A9" s="191"/>
      <c r="B9" s="197" t="s">
        <v>366</v>
      </c>
      <c r="C9" s="198">
        <f>'Unallocated Detail (CBR)'!E208</f>
        <v>129263.39</v>
      </c>
      <c r="D9" s="198">
        <f>'Unallocated Detail (CBR)'!F208</f>
        <v>93297.54</v>
      </c>
      <c r="E9" s="199">
        <v>1</v>
      </c>
      <c r="F9" s="142">
        <f>+C9/H9</f>
        <v>0.58080000833928935</v>
      </c>
      <c r="G9" s="142">
        <f>+D9/H9</f>
        <v>0.41919999166071059</v>
      </c>
      <c r="H9" s="200">
        <f>C9+D9</f>
        <v>222560.93</v>
      </c>
    </row>
    <row r="10" spans="1:8" ht="15.9" customHeight="1" x14ac:dyDescent="0.25">
      <c r="A10" s="191" t="s">
        <v>367</v>
      </c>
      <c r="B10" s="197" t="s">
        <v>368</v>
      </c>
      <c r="C10" s="201">
        <f>'Unallocated Detail (CBR)'!E209</f>
        <v>1438307.49</v>
      </c>
      <c r="D10" s="201">
        <f>'Unallocated Detail (CBR)'!F209</f>
        <v>859308.31</v>
      </c>
      <c r="E10" s="199">
        <v>2</v>
      </c>
      <c r="F10" s="142">
        <f>+C10/H10</f>
        <v>0.62599999965181308</v>
      </c>
      <c r="G10" s="142">
        <f>+D10/H10</f>
        <v>0.37400000034818709</v>
      </c>
      <c r="H10" s="202">
        <f>C10+D10</f>
        <v>2297615.7999999998</v>
      </c>
    </row>
    <row r="11" spans="1:8" ht="15.9" customHeight="1" x14ac:dyDescent="0.25">
      <c r="A11" s="191" t="s">
        <v>367</v>
      </c>
      <c r="B11" s="197" t="s">
        <v>369</v>
      </c>
      <c r="C11" s="201">
        <f>'Unallocated Detail (CBR)'!E210</f>
        <v>20969107.18</v>
      </c>
      <c r="D11" s="201">
        <f>'Unallocated Detail (CBR)'!F210</f>
        <v>15134727.49</v>
      </c>
      <c r="E11" s="199">
        <v>1</v>
      </c>
      <c r="F11" s="142">
        <f>+C11/H11</f>
        <v>0.58080000010148503</v>
      </c>
      <c r="G11" s="142">
        <f>+D11/H11</f>
        <v>0.41919999989851492</v>
      </c>
      <c r="H11" s="202">
        <f>C11+D11</f>
        <v>36103834.670000002</v>
      </c>
    </row>
    <row r="12" spans="1:8" ht="15.9" customHeight="1" x14ac:dyDescent="0.25">
      <c r="A12" s="191" t="s">
        <v>367</v>
      </c>
      <c r="B12" s="203" t="s">
        <v>911</v>
      </c>
      <c r="C12" s="201">
        <f>'Unallocated Detail (CBR)'!E211</f>
        <v>56342.76</v>
      </c>
      <c r="D12" s="201">
        <f>'Unallocated Detail (CBR)'!F211</f>
        <v>28574.74</v>
      </c>
      <c r="E12" s="199">
        <v>4</v>
      </c>
      <c r="F12" s="142">
        <f>+C12/H12</f>
        <v>0.66349998527983045</v>
      </c>
      <c r="G12" s="142">
        <f>+D12/H12</f>
        <v>0.3365000147201696</v>
      </c>
      <c r="H12" s="202">
        <f>C12+D12</f>
        <v>84917.5</v>
      </c>
    </row>
    <row r="13" spans="1:8" ht="15.9" customHeight="1" x14ac:dyDescent="0.25">
      <c r="A13" s="191" t="s">
        <v>367</v>
      </c>
      <c r="B13" s="197" t="s">
        <v>370</v>
      </c>
      <c r="C13" s="204">
        <f>'Unallocated Detail (CBR)'!E212</f>
        <v>0</v>
      </c>
      <c r="D13" s="204">
        <f>'Unallocated Detail (CBR)'!F212</f>
        <v>0</v>
      </c>
      <c r="E13" s="205">
        <v>1</v>
      </c>
      <c r="F13" s="206"/>
      <c r="G13" s="206"/>
      <c r="H13" s="204">
        <f>C13+D13</f>
        <v>0</v>
      </c>
    </row>
    <row r="14" spans="1:8" ht="15.9" customHeight="1" x14ac:dyDescent="0.25">
      <c r="A14" s="191" t="s">
        <v>367</v>
      </c>
      <c r="B14" s="192" t="s">
        <v>371</v>
      </c>
      <c r="C14" s="201">
        <f>SUM(C9:C13)</f>
        <v>22593020.82</v>
      </c>
      <c r="D14" s="201">
        <f>SUM(D9:D13)</f>
        <v>16115908.08</v>
      </c>
      <c r="E14" s="199"/>
      <c r="F14" s="207"/>
      <c r="G14" s="208"/>
      <c r="H14" s="202">
        <f>SUM(H9:H13)</f>
        <v>38708928.899999999</v>
      </c>
    </row>
    <row r="15" spans="1:8" ht="15.9" customHeight="1" x14ac:dyDescent="0.25">
      <c r="A15" s="191" t="s">
        <v>17</v>
      </c>
      <c r="B15" s="192"/>
      <c r="C15" s="201"/>
      <c r="D15" s="201"/>
      <c r="E15" s="199"/>
      <c r="F15" s="208"/>
      <c r="G15" s="208"/>
      <c r="H15" s="202"/>
    </row>
    <row r="16" spans="1:8" ht="15.9" customHeight="1" x14ac:dyDescent="0.25">
      <c r="A16" s="191"/>
      <c r="B16" s="197" t="s">
        <v>372</v>
      </c>
      <c r="C16" s="201">
        <f>'Unallocated Detail (CBR)'!E215</f>
        <v>679065.22</v>
      </c>
      <c r="D16" s="201">
        <f>'Unallocated Detail (CBR)'!F215</f>
        <v>490124.2</v>
      </c>
      <c r="E16" s="199">
        <v>1</v>
      </c>
      <c r="F16" s="142">
        <f>+C16/H16</f>
        <v>0.5808000041601471</v>
      </c>
      <c r="G16" s="142">
        <f>+D16/H16</f>
        <v>0.4191999958398529</v>
      </c>
      <c r="H16" s="202">
        <f t="shared" ref="H16:H22" si="0">C16+D16</f>
        <v>1169189.42</v>
      </c>
    </row>
    <row r="17" spans="1:8" ht="15.9" customHeight="1" x14ac:dyDescent="0.25">
      <c r="A17" s="191" t="s">
        <v>367</v>
      </c>
      <c r="B17" s="197" t="s">
        <v>373</v>
      </c>
      <c r="C17" s="201">
        <f>'Unallocated Detail (CBR)'!E216</f>
        <v>1338067.6200000001</v>
      </c>
      <c r="D17" s="201">
        <f>'Unallocated Detail (CBR)'!F216</f>
        <v>965767.81</v>
      </c>
      <c r="E17" s="199">
        <v>1</v>
      </c>
      <c r="F17" s="142">
        <f>+C17/H17</f>
        <v>0.58080000097923656</v>
      </c>
      <c r="G17" s="142">
        <f>+D17/H17</f>
        <v>0.41919999902076338</v>
      </c>
      <c r="H17" s="202">
        <f t="shared" si="0"/>
        <v>2303835.4300000002</v>
      </c>
    </row>
    <row r="18" spans="1:8" ht="15.9" customHeight="1" x14ac:dyDescent="0.25">
      <c r="A18" s="191" t="s">
        <v>367</v>
      </c>
      <c r="B18" s="197" t="s">
        <v>374</v>
      </c>
      <c r="C18" s="201">
        <f>'Unallocated Detail (CBR)'!E217</f>
        <v>201.49</v>
      </c>
      <c r="D18" s="201">
        <f>'Unallocated Detail (CBR)'!F217</f>
        <v>145.43</v>
      </c>
      <c r="E18" s="199">
        <v>1</v>
      </c>
      <c r="F18" s="142">
        <f>+C18/H18</f>
        <v>0.58079672546984895</v>
      </c>
      <c r="G18" s="142">
        <f>+D18/H18</f>
        <v>0.41920327453015105</v>
      </c>
      <c r="H18" s="202">
        <f t="shared" si="0"/>
        <v>346.92</v>
      </c>
    </row>
    <row r="19" spans="1:8" ht="15.9" customHeight="1" x14ac:dyDescent="0.25">
      <c r="A19" s="191"/>
      <c r="B19" s="197" t="s">
        <v>375</v>
      </c>
      <c r="C19" s="201">
        <f>'Unallocated Detail (CBR)'!E218</f>
        <v>0</v>
      </c>
      <c r="D19" s="201">
        <f>'Unallocated Detail (CBR)'!F218</f>
        <v>0</v>
      </c>
      <c r="E19" s="199">
        <v>1</v>
      </c>
      <c r="F19" s="142"/>
      <c r="G19" s="142"/>
      <c r="H19" s="202">
        <f t="shared" si="0"/>
        <v>0</v>
      </c>
    </row>
    <row r="20" spans="1:8" ht="15.9" customHeight="1" x14ac:dyDescent="0.25">
      <c r="A20" s="191" t="s">
        <v>367</v>
      </c>
      <c r="B20" s="197" t="s">
        <v>376</v>
      </c>
      <c r="C20" s="201">
        <f>'Unallocated Detail (CBR)'!E219</f>
        <v>-88659.79</v>
      </c>
      <c r="D20" s="201">
        <f>'Unallocated Detail (CBR)'!F219</f>
        <v>-63991.360000000001</v>
      </c>
      <c r="E20" s="199">
        <v>1</v>
      </c>
      <c r="F20" s="142">
        <f>+C20/H20</f>
        <v>0.580800013625839</v>
      </c>
      <c r="G20" s="142">
        <f>+D20/H20</f>
        <v>0.41919998637416095</v>
      </c>
      <c r="H20" s="202">
        <f t="shared" si="0"/>
        <v>-152651.15</v>
      </c>
    </row>
    <row r="21" spans="1:8" ht="15.9" customHeight="1" x14ac:dyDescent="0.25">
      <c r="A21" s="191"/>
      <c r="B21" s="197" t="s">
        <v>377</v>
      </c>
      <c r="C21" s="201">
        <f>'Unallocated Detail (CBR)'!E220</f>
        <v>0</v>
      </c>
      <c r="D21" s="201">
        <f>'Unallocated Detail (CBR)'!F220</f>
        <v>0</v>
      </c>
      <c r="E21" s="199">
        <v>1</v>
      </c>
      <c r="F21" s="142"/>
      <c r="G21" s="142"/>
      <c r="H21" s="202">
        <f t="shared" si="0"/>
        <v>0</v>
      </c>
    </row>
    <row r="22" spans="1:8" ht="15.9" customHeight="1" x14ac:dyDescent="0.25">
      <c r="A22" s="191"/>
      <c r="B22" s="197" t="s">
        <v>378</v>
      </c>
      <c r="C22" s="204">
        <f>'Unallocated Detail (CBR)'!E221</f>
        <v>0</v>
      </c>
      <c r="D22" s="204">
        <f>'Unallocated Detail (CBR)'!F221</f>
        <v>0</v>
      </c>
      <c r="E22" s="205">
        <v>1</v>
      </c>
      <c r="F22" s="206"/>
      <c r="G22" s="206"/>
      <c r="H22" s="204">
        <f t="shared" si="0"/>
        <v>0</v>
      </c>
    </row>
    <row r="23" spans="1:8" ht="15.9" customHeight="1" x14ac:dyDescent="0.25">
      <c r="A23" s="191" t="s">
        <v>367</v>
      </c>
      <c r="B23" s="192" t="s">
        <v>371</v>
      </c>
      <c r="C23" s="201">
        <f>SUM(C16:C21)</f>
        <v>1928674.54</v>
      </c>
      <c r="D23" s="201">
        <f>SUM(D16:D21)</f>
        <v>1392046.0799999998</v>
      </c>
      <c r="E23" s="199"/>
      <c r="F23" s="207"/>
      <c r="G23" s="208"/>
      <c r="H23" s="202">
        <f>SUM(H16:H21)</f>
        <v>3320720.62</v>
      </c>
    </row>
    <row r="24" spans="1:8" ht="15.9" customHeight="1" x14ac:dyDescent="0.25">
      <c r="A24" s="191" t="s">
        <v>15</v>
      </c>
      <c r="B24" s="192"/>
      <c r="C24" s="201"/>
      <c r="D24" s="201"/>
      <c r="E24" s="199"/>
      <c r="F24" s="208"/>
      <c r="G24" s="208"/>
      <c r="H24" s="202"/>
    </row>
    <row r="25" spans="1:8" ht="15.9" customHeight="1" x14ac:dyDescent="0.25">
      <c r="A25" s="191"/>
      <c r="B25" s="197" t="s">
        <v>379</v>
      </c>
      <c r="C25" s="201">
        <f>'Unallocated Detail (CBR)'!E227</f>
        <v>46671301.560000002</v>
      </c>
      <c r="D25" s="201">
        <f>'Unallocated Detail (CBR)'!F227</f>
        <v>23669770.870000001</v>
      </c>
      <c r="E25" s="199">
        <v>4</v>
      </c>
      <c r="F25" s="142">
        <f t="shared" ref="F25:F31" si="1">+C25/H25</f>
        <v>0.66350000003831333</v>
      </c>
      <c r="G25" s="142">
        <f t="shared" ref="G25:G31" si="2">+D25/H25</f>
        <v>0.33649999996168667</v>
      </c>
      <c r="H25" s="202">
        <f t="shared" ref="H25:H37" si="3">C25+D25</f>
        <v>70341072.430000007</v>
      </c>
    </row>
    <row r="26" spans="1:8" ht="15.9" customHeight="1" x14ac:dyDescent="0.25">
      <c r="A26" s="191"/>
      <c r="B26" s="197" t="s">
        <v>380</v>
      </c>
      <c r="C26" s="201">
        <f>'Unallocated Detail (CBR)'!E228</f>
        <v>8848628.3800000008</v>
      </c>
      <c r="D26" s="201">
        <f>'Unallocated Detail (CBR)'!F228</f>
        <v>4487661.57</v>
      </c>
      <c r="E26" s="199">
        <v>4</v>
      </c>
      <c r="F26" s="142">
        <f t="shared" si="1"/>
        <v>0.66349999986315533</v>
      </c>
      <c r="G26" s="142">
        <f t="shared" si="2"/>
        <v>0.33650000013684467</v>
      </c>
      <c r="H26" s="202">
        <f t="shared" si="3"/>
        <v>13336289.950000001</v>
      </c>
    </row>
    <row r="27" spans="1:8" ht="15.9" customHeight="1" x14ac:dyDescent="0.25">
      <c r="A27" s="191" t="s">
        <v>367</v>
      </c>
      <c r="B27" s="197" t="s">
        <v>381</v>
      </c>
      <c r="C27" s="201">
        <f>'Unallocated Detail (CBR)'!E229</f>
        <v>-23165594.77</v>
      </c>
      <c r="D27" s="201">
        <f>'Unallocated Detail (CBR)'!F229</f>
        <v>-11748640</v>
      </c>
      <c r="E27" s="199">
        <v>4</v>
      </c>
      <c r="F27" s="142">
        <f t="shared" si="1"/>
        <v>0.66350000000300746</v>
      </c>
      <c r="G27" s="142">
        <f t="shared" si="2"/>
        <v>0.33649999999699265</v>
      </c>
      <c r="H27" s="202">
        <f t="shared" si="3"/>
        <v>-34914234.769999996</v>
      </c>
    </row>
    <row r="28" spans="1:8" ht="15.9" customHeight="1" x14ac:dyDescent="0.25">
      <c r="A28" s="191" t="s">
        <v>367</v>
      </c>
      <c r="B28" s="197" t="s">
        <v>382</v>
      </c>
      <c r="C28" s="201">
        <f>'Unallocated Detail (CBR)'!E230</f>
        <v>8890294.5</v>
      </c>
      <c r="D28" s="201">
        <f>'Unallocated Detail (CBR)'!F230</f>
        <v>4508792.92</v>
      </c>
      <c r="E28" s="199">
        <v>4</v>
      </c>
      <c r="F28" s="142">
        <f t="shared" si="1"/>
        <v>0.66349999976341678</v>
      </c>
      <c r="G28" s="142">
        <f t="shared" si="2"/>
        <v>0.33650000023658327</v>
      </c>
      <c r="H28" s="202">
        <f t="shared" si="3"/>
        <v>13399087.42</v>
      </c>
    </row>
    <row r="29" spans="1:8" ht="15.9" customHeight="1" x14ac:dyDescent="0.25">
      <c r="A29" s="191" t="s">
        <v>367</v>
      </c>
      <c r="B29" s="197" t="s">
        <v>383</v>
      </c>
      <c r="C29" s="201">
        <f>'Unallocated Detail (CBR)'!E231</f>
        <v>-11248.63</v>
      </c>
      <c r="D29" s="201">
        <f>'Unallocated Detail (CBR)'!F231</f>
        <v>-7471.01</v>
      </c>
      <c r="E29" s="199">
        <v>3</v>
      </c>
      <c r="F29" s="142">
        <f t="shared" si="1"/>
        <v>0.60089991046836366</v>
      </c>
      <c r="G29" s="142">
        <f t="shared" si="2"/>
        <v>0.39910008953163634</v>
      </c>
      <c r="H29" s="202">
        <f t="shared" si="3"/>
        <v>-18719.64</v>
      </c>
    </row>
    <row r="30" spans="1:8" ht="15.9" customHeight="1" x14ac:dyDescent="0.25">
      <c r="A30" s="191" t="s">
        <v>367</v>
      </c>
      <c r="B30" s="197" t="s">
        <v>384</v>
      </c>
      <c r="C30" s="201">
        <f>'Unallocated Detail (CBR)'!E232</f>
        <v>3226461.23</v>
      </c>
      <c r="D30" s="201">
        <f>'Unallocated Detail (CBR)'!F232</f>
        <v>2328740.62</v>
      </c>
      <c r="E30" s="199">
        <v>1</v>
      </c>
      <c r="F30" s="142">
        <f t="shared" si="1"/>
        <v>0.58079999919354874</v>
      </c>
      <c r="G30" s="142">
        <f t="shared" si="2"/>
        <v>0.41920000080645137</v>
      </c>
      <c r="H30" s="202">
        <f t="shared" si="3"/>
        <v>5555201.8499999996</v>
      </c>
    </row>
    <row r="31" spans="1:8" ht="15.9" customHeight="1" x14ac:dyDescent="0.25">
      <c r="A31" s="191" t="s">
        <v>367</v>
      </c>
      <c r="B31" s="197" t="s">
        <v>385</v>
      </c>
      <c r="C31" s="201">
        <f>'Unallocated Detail (CBR)'!E233</f>
        <v>10745146.91</v>
      </c>
      <c r="D31" s="201">
        <f>'Unallocated Detail (CBR)'!F233</f>
        <v>4644636.6900000004</v>
      </c>
      <c r="E31" s="199">
        <v>5</v>
      </c>
      <c r="F31" s="142">
        <f t="shared" si="1"/>
        <v>0.69820000003118943</v>
      </c>
      <c r="G31" s="142">
        <f t="shared" si="2"/>
        <v>0.30179999996881046</v>
      </c>
      <c r="H31" s="202">
        <f t="shared" si="3"/>
        <v>15389783.600000001</v>
      </c>
    </row>
    <row r="32" spans="1:8" ht="15.9" customHeight="1" x14ac:dyDescent="0.25">
      <c r="A32" s="191"/>
      <c r="B32" s="197" t="s">
        <v>386</v>
      </c>
      <c r="C32" s="201">
        <f>'Unallocated Detail (CBR)'!E234</f>
        <v>1219628.44</v>
      </c>
      <c r="D32" s="201">
        <f>'Unallocated Detail (CBR)'!F234</f>
        <v>618545.54</v>
      </c>
      <c r="E32" s="199">
        <v>4</v>
      </c>
      <c r="F32" s="142"/>
      <c r="G32" s="142"/>
      <c r="H32" s="202">
        <f t="shared" si="3"/>
        <v>1838173.98</v>
      </c>
    </row>
    <row r="33" spans="1:8" ht="15.9" customHeight="1" x14ac:dyDescent="0.25">
      <c r="A33" s="191" t="s">
        <v>367</v>
      </c>
      <c r="B33" s="197" t="s">
        <v>387</v>
      </c>
      <c r="C33" s="201">
        <f>'Unallocated Detail (CBR)'!E235</f>
        <v>394.52</v>
      </c>
      <c r="D33" s="201">
        <f>'Unallocated Detail (CBR)'!F235</f>
        <v>200.08</v>
      </c>
      <c r="E33" s="199">
        <v>4</v>
      </c>
      <c r="F33" s="142">
        <f>IFERROR(+C33/H33,0)</f>
        <v>0.6635048772283888</v>
      </c>
      <c r="G33" s="142">
        <f>IFERROR(+D33/H33,0)</f>
        <v>0.3364951227716112</v>
      </c>
      <c r="H33" s="202">
        <f t="shared" si="3"/>
        <v>594.6</v>
      </c>
    </row>
    <row r="34" spans="1:8" ht="15.9" customHeight="1" x14ac:dyDescent="0.25">
      <c r="A34" s="191" t="s">
        <v>367</v>
      </c>
      <c r="B34" s="197" t="s">
        <v>388</v>
      </c>
      <c r="C34" s="201">
        <f>'Unallocated Detail (CBR)'!E236</f>
        <v>7461590.7699999996</v>
      </c>
      <c r="D34" s="201">
        <f>'Unallocated Detail (CBR)'!F236</f>
        <v>3784212.96</v>
      </c>
      <c r="E34" s="199">
        <v>4</v>
      </c>
      <c r="F34" s="142">
        <f>+C34/H34</f>
        <v>0.66349999956828332</v>
      </c>
      <c r="G34" s="142">
        <f>+D34/H34</f>
        <v>0.33650000043171657</v>
      </c>
      <c r="H34" s="202">
        <f t="shared" si="3"/>
        <v>11245803.73</v>
      </c>
    </row>
    <row r="35" spans="1:8" ht="15.9" customHeight="1" x14ac:dyDescent="0.25">
      <c r="A35" s="191" t="s">
        <v>367</v>
      </c>
      <c r="B35" s="197" t="s">
        <v>389</v>
      </c>
      <c r="C35" s="201">
        <f>'Unallocated Detail (CBR)'!E237</f>
        <v>6903940.6399999997</v>
      </c>
      <c r="D35" s="201">
        <f>'Unallocated Detail (CBR)'!F237</f>
        <v>3501395.67</v>
      </c>
      <c r="E35" s="199">
        <v>4</v>
      </c>
      <c r="F35" s="142">
        <f>+C35/H35</f>
        <v>0.66349999983806396</v>
      </c>
      <c r="G35" s="142">
        <f>+D35/H35</f>
        <v>0.33650000016193615</v>
      </c>
      <c r="H35" s="202">
        <f t="shared" si="3"/>
        <v>10405336.309999999</v>
      </c>
    </row>
    <row r="36" spans="1:8" ht="15.9" customHeight="1" x14ac:dyDescent="0.25">
      <c r="A36" s="191"/>
      <c r="B36" s="197" t="s">
        <v>390</v>
      </c>
      <c r="C36" s="201">
        <f>'Unallocated Detail (CBR)'!E238</f>
        <v>0</v>
      </c>
      <c r="D36" s="201">
        <f>'Unallocated Detail (CBR)'!F238</f>
        <v>0</v>
      </c>
      <c r="E36" s="199">
        <v>4</v>
      </c>
      <c r="F36" s="142"/>
      <c r="G36" s="142"/>
      <c r="H36" s="202">
        <f t="shared" si="3"/>
        <v>0</v>
      </c>
    </row>
    <row r="37" spans="1:8" ht="15.9" customHeight="1" x14ac:dyDescent="0.25">
      <c r="A37" s="191"/>
      <c r="B37" s="197" t="s">
        <v>391</v>
      </c>
      <c r="C37" s="204">
        <f>'Unallocated Detail (CBR)'!E239</f>
        <v>15975971.140000001</v>
      </c>
      <c r="D37" s="204">
        <f>'Unallocated Detail (CBR)'!F239</f>
        <v>8102357.6299999999</v>
      </c>
      <c r="E37" s="205">
        <v>4</v>
      </c>
      <c r="F37" s="206">
        <f>+C37/H37</f>
        <v>0.66350000004589194</v>
      </c>
      <c r="G37" s="206">
        <f>+D37/H37</f>
        <v>0.33649999995410812</v>
      </c>
      <c r="H37" s="204">
        <f t="shared" si="3"/>
        <v>24078328.77</v>
      </c>
    </row>
    <row r="38" spans="1:8" ht="15.9" customHeight="1" x14ac:dyDescent="0.25">
      <c r="A38" s="191" t="s">
        <v>367</v>
      </c>
      <c r="B38" s="192" t="s">
        <v>371</v>
      </c>
      <c r="C38" s="201">
        <f>SUM(C25:C37)</f>
        <v>86766514.689999998</v>
      </c>
      <c r="D38" s="201">
        <f>SUM(D25:D37)</f>
        <v>43890203.539999999</v>
      </c>
      <c r="E38" s="199"/>
      <c r="F38" s="207"/>
      <c r="G38" s="208"/>
      <c r="H38" s="202">
        <f>SUM(H25:H37)</f>
        <v>130656718.23</v>
      </c>
    </row>
    <row r="39" spans="1:8" ht="15.9" customHeight="1" x14ac:dyDescent="0.25">
      <c r="A39" s="191" t="s">
        <v>392</v>
      </c>
      <c r="B39" s="192"/>
      <c r="C39" s="201"/>
      <c r="D39" s="201"/>
      <c r="E39" s="199"/>
      <c r="F39" s="208"/>
      <c r="G39" s="208"/>
      <c r="H39" s="202"/>
    </row>
    <row r="40" spans="1:8" ht="15.9" customHeight="1" x14ac:dyDescent="0.25">
      <c r="A40" s="191"/>
      <c r="B40" s="197" t="s">
        <v>393</v>
      </c>
      <c r="C40" s="201">
        <f>'Unallocated Detail (CBR)'!E245</f>
        <v>19113545.23</v>
      </c>
      <c r="D40" s="201">
        <f>'Unallocated Detail (CBR)'!F245</f>
        <v>9693606.5899999999</v>
      </c>
      <c r="E40" s="199">
        <v>4</v>
      </c>
      <c r="F40" s="142">
        <f>+C40/H40</f>
        <v>0.66349999991078601</v>
      </c>
      <c r="G40" s="142">
        <f>+D40/H40</f>
        <v>0.33650000008921394</v>
      </c>
      <c r="H40" s="202">
        <f>C40+D40</f>
        <v>28807151.82</v>
      </c>
    </row>
    <row r="41" spans="1:8" ht="15.9" customHeight="1" x14ac:dyDescent="0.25">
      <c r="A41" s="191"/>
      <c r="B41" s="209" t="s">
        <v>394</v>
      </c>
      <c r="C41" s="204">
        <f>'Unallocated Detail (CBR)'!E246</f>
        <v>33614.1</v>
      </c>
      <c r="D41" s="204">
        <f>'Unallocated Detail (CBR)'!F246</f>
        <v>17047.689999999999</v>
      </c>
      <c r="E41" s="205">
        <v>4</v>
      </c>
      <c r="F41" s="206"/>
      <c r="G41" s="206"/>
      <c r="H41" s="204">
        <f>C41+D41</f>
        <v>50661.789999999994</v>
      </c>
    </row>
    <row r="42" spans="1:8" ht="15.9" customHeight="1" x14ac:dyDescent="0.25">
      <c r="A42" s="191"/>
      <c r="B42" s="192" t="s">
        <v>371</v>
      </c>
      <c r="C42" s="201">
        <f>SUM(C40:C41)</f>
        <v>19147159.330000002</v>
      </c>
      <c r="D42" s="201">
        <f>SUM(D40:D41)</f>
        <v>9710654.2799999993</v>
      </c>
      <c r="E42" s="199"/>
      <c r="F42" s="208"/>
      <c r="G42" s="208"/>
      <c r="H42" s="202">
        <f>SUM(H40:H41)</f>
        <v>28857813.609999999</v>
      </c>
    </row>
    <row r="43" spans="1:8" ht="15.9" customHeight="1" x14ac:dyDescent="0.25">
      <c r="A43" s="191" t="s">
        <v>13</v>
      </c>
      <c r="B43" s="197"/>
      <c r="C43" s="201"/>
      <c r="D43" s="201"/>
      <c r="E43" s="199"/>
      <c r="F43" s="208"/>
      <c r="G43" s="208"/>
      <c r="H43" s="202"/>
    </row>
    <row r="44" spans="1:8" ht="15.9" customHeight="1" x14ac:dyDescent="0.25">
      <c r="A44" s="191"/>
      <c r="B44" s="197" t="s">
        <v>395</v>
      </c>
      <c r="C44" s="201">
        <f>'Unallocated Detail (CBR)'!E249</f>
        <v>66912133.539999999</v>
      </c>
      <c r="D44" s="201">
        <f>'Unallocated Detail (CBR)'!F249</f>
        <v>33935091.079999998</v>
      </c>
      <c r="E44" s="199">
        <v>4</v>
      </c>
      <c r="F44" s="142">
        <f>+C44/H44</f>
        <v>0.66350000004591103</v>
      </c>
      <c r="G44" s="142">
        <f>+D44/H44</f>
        <v>0.33649999995408891</v>
      </c>
      <c r="H44" s="202">
        <f>C44+D44</f>
        <v>100847224.62</v>
      </c>
    </row>
    <row r="45" spans="1:8" ht="15.9" customHeight="1" x14ac:dyDescent="0.25">
      <c r="A45" s="191"/>
      <c r="B45" s="197" t="s">
        <v>396</v>
      </c>
      <c r="C45" s="201">
        <f>'Unallocated Detail (CBR)'!E250</f>
        <v>0</v>
      </c>
      <c r="D45" s="201">
        <f>'Unallocated Detail (CBR)'!F250</f>
        <v>0</v>
      </c>
      <c r="E45" s="199">
        <v>4</v>
      </c>
      <c r="F45" s="142"/>
      <c r="G45" s="142"/>
      <c r="H45" s="202">
        <f>C45+D45</f>
        <v>0</v>
      </c>
    </row>
    <row r="46" spans="1:8" ht="15.9" customHeight="1" x14ac:dyDescent="0.25">
      <c r="A46" s="191"/>
      <c r="B46" s="209" t="s">
        <v>397</v>
      </c>
      <c r="C46" s="204">
        <f>'Unallocated Detail (CBR)'!E251</f>
        <v>13527.15</v>
      </c>
      <c r="D46" s="204">
        <f>'Unallocated Detail (CBR)'!F251</f>
        <v>6860.42</v>
      </c>
      <c r="E46" s="205">
        <v>4</v>
      </c>
      <c r="F46" s="206"/>
      <c r="G46" s="206"/>
      <c r="H46" s="202">
        <f>C46+D46</f>
        <v>20387.57</v>
      </c>
    </row>
    <row r="47" spans="1:8" ht="15.9" customHeight="1" x14ac:dyDescent="0.25">
      <c r="A47" s="191" t="s">
        <v>367</v>
      </c>
      <c r="B47" s="192" t="s">
        <v>371</v>
      </c>
      <c r="C47" s="201">
        <f>SUM(C44:C46)</f>
        <v>66925660.689999998</v>
      </c>
      <c r="D47" s="201">
        <f>SUM(D44:D46)</f>
        <v>33941951.5</v>
      </c>
      <c r="E47" s="199"/>
      <c r="F47" s="208"/>
      <c r="G47" s="208"/>
      <c r="H47" s="210">
        <f>SUM(H44:H46)</f>
        <v>100867612.19</v>
      </c>
    </row>
    <row r="48" spans="1:8" ht="15.9" customHeight="1" x14ac:dyDescent="0.25">
      <c r="A48" s="211" t="s">
        <v>398</v>
      </c>
      <c r="B48" s="192"/>
      <c r="C48" s="201"/>
      <c r="D48" s="201"/>
      <c r="E48" s="199"/>
      <c r="F48" s="208"/>
      <c r="G48" s="208"/>
      <c r="H48" s="202"/>
    </row>
    <row r="49" spans="1:8" ht="15.9" customHeight="1" x14ac:dyDescent="0.25">
      <c r="A49" s="191" t="s">
        <v>273</v>
      </c>
      <c r="B49" s="192"/>
      <c r="C49" s="201">
        <f>'Unallocated Detail (CBR)'!E257</f>
        <v>0</v>
      </c>
      <c r="D49" s="201">
        <f>'Unallocated Detail (CBR)'!F257</f>
        <v>0</v>
      </c>
      <c r="E49" s="199"/>
      <c r="F49" s="208"/>
      <c r="G49" s="208"/>
      <c r="H49" s="202">
        <f t="shared" ref="H49:H54" si="4">C49+D49</f>
        <v>0</v>
      </c>
    </row>
    <row r="50" spans="1:8" ht="15.9" customHeight="1" x14ac:dyDescent="0.25">
      <c r="A50" s="191" t="s">
        <v>274</v>
      </c>
      <c r="B50" s="192"/>
      <c r="C50" s="201">
        <f>'Unallocated Detail (CBR)'!E258</f>
        <v>-14375982.18</v>
      </c>
      <c r="D50" s="201">
        <f>'Unallocated Detail (CBR)'!F258</f>
        <v>-7290908.8200000003</v>
      </c>
      <c r="E50" s="199">
        <v>4</v>
      </c>
      <c r="F50" s="142">
        <f>+C50/H50</f>
        <v>0.66350000006923004</v>
      </c>
      <c r="G50" s="142">
        <f>+D50/H50</f>
        <v>0.33649999993076996</v>
      </c>
      <c r="H50" s="202">
        <f t="shared" si="4"/>
        <v>-21666891</v>
      </c>
    </row>
    <row r="51" spans="1:8" ht="15.9" customHeight="1" x14ac:dyDescent="0.25">
      <c r="A51" s="191" t="s">
        <v>275</v>
      </c>
      <c r="B51" s="192"/>
      <c r="C51" s="201">
        <f>'Unallocated Detail (CBR)'!E259</f>
        <v>0</v>
      </c>
      <c r="D51" s="201">
        <f>'Unallocated Detail (CBR)'!F259</f>
        <v>0</v>
      </c>
      <c r="E51" s="199">
        <v>4</v>
      </c>
      <c r="F51" s="208"/>
      <c r="G51" s="208"/>
      <c r="H51" s="202">
        <f t="shared" si="4"/>
        <v>0</v>
      </c>
    </row>
    <row r="52" spans="1:8" ht="15.9" customHeight="1" x14ac:dyDescent="0.25">
      <c r="A52" s="191" t="s">
        <v>276</v>
      </c>
      <c r="B52" s="192"/>
      <c r="C52" s="201">
        <f>'Unallocated Detail (CBR)'!E260</f>
        <v>0</v>
      </c>
      <c r="D52" s="201">
        <f>'Unallocated Detail (CBR)'!F260</f>
        <v>0</v>
      </c>
      <c r="E52" s="199">
        <v>4</v>
      </c>
      <c r="F52" s="208"/>
      <c r="G52" s="208"/>
      <c r="H52" s="202">
        <f t="shared" si="4"/>
        <v>0</v>
      </c>
    </row>
    <row r="53" spans="1:8" ht="15.9" customHeight="1" x14ac:dyDescent="0.25">
      <c r="A53" s="191" t="s">
        <v>277</v>
      </c>
      <c r="B53" s="192"/>
      <c r="C53" s="201">
        <f>'Unallocated Detail (CBR)'!E261</f>
        <v>0</v>
      </c>
      <c r="D53" s="201">
        <f>'Unallocated Detail (CBR)'!F261</f>
        <v>0</v>
      </c>
      <c r="E53" s="199"/>
      <c r="F53" s="208"/>
      <c r="G53" s="208"/>
      <c r="H53" s="202">
        <f t="shared" si="4"/>
        <v>0</v>
      </c>
    </row>
    <row r="54" spans="1:8" ht="15.9" customHeight="1" x14ac:dyDescent="0.25">
      <c r="A54" s="191" t="s">
        <v>278</v>
      </c>
      <c r="B54" s="192"/>
      <c r="C54" s="204">
        <f>'Unallocated Detail (CBR)'!E262</f>
        <v>0</v>
      </c>
      <c r="D54" s="204">
        <f>'Unallocated Detail (CBR)'!F262</f>
        <v>0</v>
      </c>
      <c r="E54" s="205"/>
      <c r="F54" s="212"/>
      <c r="G54" s="212"/>
      <c r="H54" s="213">
        <f t="shared" si="4"/>
        <v>0</v>
      </c>
    </row>
    <row r="55" spans="1:8" ht="15.9" customHeight="1" x14ac:dyDescent="0.25">
      <c r="A55" s="191" t="s">
        <v>279</v>
      </c>
      <c r="B55" s="192"/>
      <c r="C55" s="201">
        <f>SUM(C49:C54)</f>
        <v>-14375982.18</v>
      </c>
      <c r="D55" s="201">
        <f>SUM(D49:D54)</f>
        <v>-7290908.8200000003</v>
      </c>
      <c r="E55" s="199"/>
      <c r="F55" s="208"/>
      <c r="G55" s="208"/>
      <c r="H55" s="201">
        <f>SUM(H49:H54)</f>
        <v>-21666891</v>
      </c>
    </row>
    <row r="56" spans="1:8" ht="15.9" customHeight="1" x14ac:dyDescent="0.25">
      <c r="A56" s="191" t="s">
        <v>399</v>
      </c>
      <c r="B56" s="214"/>
      <c r="C56" s="201"/>
      <c r="D56" s="201"/>
      <c r="E56" s="199"/>
      <c r="F56" s="208"/>
      <c r="G56" s="208"/>
      <c r="H56" s="202"/>
    </row>
    <row r="57" spans="1:8" ht="15.9" customHeight="1" x14ac:dyDescent="0.25">
      <c r="A57" s="191"/>
      <c r="B57" s="209" t="s">
        <v>339</v>
      </c>
      <c r="C57" s="204">
        <f>'Unallocated Detail (CBR)'!E271</f>
        <v>4233918.4800000004</v>
      </c>
      <c r="D57" s="204">
        <f>'Unallocated Detail (CBR)'!F271</f>
        <v>2147269.89</v>
      </c>
      <c r="E57" s="205">
        <v>4</v>
      </c>
      <c r="F57" s="206">
        <f>+C57/H57</f>
        <v>0.66349999945229632</v>
      </c>
      <c r="G57" s="206">
        <f>+D57/H57</f>
        <v>0.33650000054770357</v>
      </c>
      <c r="H57" s="202">
        <f>C57+D57</f>
        <v>6381188.370000001</v>
      </c>
    </row>
    <row r="58" spans="1:8" ht="15.9" customHeight="1" x14ac:dyDescent="0.25">
      <c r="A58" s="191" t="s">
        <v>367</v>
      </c>
      <c r="B58" s="192" t="s">
        <v>371</v>
      </c>
      <c r="C58" s="201">
        <f>C57</f>
        <v>4233918.4800000004</v>
      </c>
      <c r="D58" s="201">
        <f>D57</f>
        <v>2147269.89</v>
      </c>
      <c r="E58" s="199"/>
      <c r="F58" s="208"/>
      <c r="G58" s="208"/>
      <c r="H58" s="210">
        <f>SUM(H57)</f>
        <v>6381188.370000001</v>
      </c>
    </row>
    <row r="59" spans="1:8" ht="15.9" customHeight="1" x14ac:dyDescent="0.25">
      <c r="A59" s="191"/>
      <c r="B59" s="192"/>
      <c r="C59" s="201"/>
      <c r="D59" s="201"/>
      <c r="E59" s="199"/>
      <c r="F59" s="208"/>
      <c r="G59" s="208"/>
      <c r="H59" s="202"/>
    </row>
    <row r="60" spans="1:8" ht="15.9" customHeight="1" x14ac:dyDescent="0.25">
      <c r="A60" s="215" t="s">
        <v>400</v>
      </c>
      <c r="B60" s="214"/>
      <c r="C60" s="201"/>
      <c r="D60" s="201"/>
      <c r="E60" s="216"/>
      <c r="F60" s="216"/>
      <c r="G60" s="216"/>
      <c r="H60" s="202"/>
    </row>
    <row r="61" spans="1:8" ht="15.9" customHeight="1" x14ac:dyDescent="0.25">
      <c r="A61" s="215"/>
      <c r="B61" s="209" t="s">
        <v>401</v>
      </c>
      <c r="C61" s="201">
        <f>'Unallocated Detail (CBR)'!E275</f>
        <v>0</v>
      </c>
      <c r="D61" s="201">
        <f>'Unallocated Detail (CBR)'!F275</f>
        <v>0</v>
      </c>
      <c r="E61" s="199">
        <v>4</v>
      </c>
      <c r="F61" s="142"/>
      <c r="G61" s="142"/>
      <c r="H61" s="202">
        <f t="shared" ref="H61:H62" si="5">C61+D61</f>
        <v>0</v>
      </c>
    </row>
    <row r="62" spans="1:8" ht="15.9" customHeight="1" x14ac:dyDescent="0.25">
      <c r="A62" s="215"/>
      <c r="B62" s="209" t="s">
        <v>401</v>
      </c>
      <c r="C62" s="204">
        <f>'Unallocated Detail (CBR)'!E276</f>
        <v>0</v>
      </c>
      <c r="D62" s="204">
        <f>'Unallocated Detail (CBR)'!F276</f>
        <v>0</v>
      </c>
      <c r="E62" s="205">
        <v>4</v>
      </c>
      <c r="F62" s="206"/>
      <c r="G62" s="206"/>
      <c r="H62" s="213">
        <f t="shared" si="5"/>
        <v>0</v>
      </c>
    </row>
    <row r="63" spans="1:8" ht="15.9" customHeight="1" x14ac:dyDescent="0.25">
      <c r="A63" s="215"/>
      <c r="B63" s="192" t="s">
        <v>371</v>
      </c>
      <c r="C63" s="201">
        <f>SUM(C61:C62)</f>
        <v>0</v>
      </c>
      <c r="D63" s="201">
        <f>SUM(D61:D62)</f>
        <v>0</v>
      </c>
      <c r="E63" s="199"/>
      <c r="F63" s="208"/>
      <c r="G63" s="208"/>
      <c r="H63" s="202">
        <f>SUM(H62)</f>
        <v>0</v>
      </c>
    </row>
    <row r="64" spans="1:8" ht="15.9" customHeight="1" x14ac:dyDescent="0.25">
      <c r="A64" s="215"/>
      <c r="B64" s="214"/>
      <c r="C64" s="201"/>
      <c r="D64" s="201"/>
      <c r="E64" s="199"/>
      <c r="F64" s="208"/>
      <c r="G64" s="208"/>
      <c r="H64" s="202"/>
    </row>
    <row r="65" spans="1:8" ht="15.9" customHeight="1" x14ac:dyDescent="0.25">
      <c r="A65" s="191" t="s">
        <v>402</v>
      </c>
      <c r="B65" s="192"/>
      <c r="C65" s="201"/>
      <c r="D65" s="201"/>
      <c r="E65" s="199"/>
      <c r="F65" s="208"/>
      <c r="G65" s="208"/>
      <c r="H65" s="202"/>
    </row>
    <row r="66" spans="1:8" ht="15.9" customHeight="1" x14ac:dyDescent="0.25">
      <c r="A66" s="191"/>
      <c r="B66" s="209" t="s">
        <v>403</v>
      </c>
      <c r="C66" s="201">
        <f>'Unallocated Detail (CBR)'!E279</f>
        <v>0</v>
      </c>
      <c r="D66" s="201">
        <f>'Unallocated Detail (CBR)'!F279</f>
        <v>0</v>
      </c>
      <c r="E66" s="199">
        <v>4</v>
      </c>
      <c r="F66" s="142">
        <f>IFERROR(0,C66/H66)</f>
        <v>0</v>
      </c>
      <c r="G66" s="142">
        <f>IFERROR(0,D66/H66)</f>
        <v>0</v>
      </c>
      <c r="H66" s="202">
        <f>C66+D66</f>
        <v>0</v>
      </c>
    </row>
    <row r="67" spans="1:8" ht="15.9" customHeight="1" x14ac:dyDescent="0.25">
      <c r="A67" s="191"/>
      <c r="B67" s="209" t="s">
        <v>404</v>
      </c>
      <c r="C67" s="204">
        <f>'Unallocated Detail (CBR)'!E280</f>
        <v>0</v>
      </c>
      <c r="D67" s="204">
        <f>'Unallocated Detail (CBR)'!F280</f>
        <v>0</v>
      </c>
      <c r="E67" s="217">
        <v>4</v>
      </c>
      <c r="F67" s="206"/>
      <c r="G67" s="206"/>
      <c r="H67" s="204">
        <f>C67+D67</f>
        <v>0</v>
      </c>
    </row>
    <row r="68" spans="1:8" ht="15.9" customHeight="1" x14ac:dyDescent="0.25">
      <c r="A68" s="218" t="s">
        <v>367</v>
      </c>
      <c r="B68" s="219" t="s">
        <v>371</v>
      </c>
      <c r="C68" s="204">
        <f>SUM(C66:C67)</f>
        <v>0</v>
      </c>
      <c r="D68" s="204">
        <f>SUM(D66:D67)</f>
        <v>0</v>
      </c>
      <c r="E68" s="205"/>
      <c r="F68" s="212"/>
      <c r="G68" s="212"/>
      <c r="H68" s="204">
        <f>SUM(H66:H67)</f>
        <v>0</v>
      </c>
    </row>
    <row r="69" spans="1:8" ht="12" customHeight="1" x14ac:dyDescent="0.25">
      <c r="A69" s="191"/>
      <c r="B69" s="192"/>
      <c r="C69" s="201"/>
      <c r="D69" s="201"/>
      <c r="E69" s="220"/>
      <c r="F69" s="208"/>
      <c r="G69" s="208"/>
      <c r="H69" s="202"/>
    </row>
    <row r="70" spans="1:8" ht="15.9" customHeight="1" x14ac:dyDescent="0.55000000000000004">
      <c r="A70" s="218" t="s">
        <v>405</v>
      </c>
      <c r="B70" s="219"/>
      <c r="C70" s="221">
        <f>C68+C63+C58+C47+C42+C38+C23+C14+C55</f>
        <v>187218966.36999997</v>
      </c>
      <c r="D70" s="221">
        <f>D68+D63+D58+D47+D42+D38+D23+D14+D55</f>
        <v>99907124.550000012</v>
      </c>
      <c r="E70" s="222"/>
      <c r="F70" s="222"/>
      <c r="G70" s="223"/>
      <c r="H70" s="221">
        <f>H68+H63+H58+H47+H42+H38+H23+H14+H55</f>
        <v>287126090.92000002</v>
      </c>
    </row>
    <row r="71" spans="1:8" ht="11.25" customHeight="1" x14ac:dyDescent="0.25">
      <c r="C71" s="224"/>
      <c r="D71" s="224"/>
      <c r="E71" s="224"/>
      <c r="F71" s="224"/>
    </row>
    <row r="72" spans="1:8" ht="15.9" customHeight="1" x14ac:dyDescent="0.25">
      <c r="E72" s="225"/>
      <c r="F72" s="226" t="s">
        <v>34</v>
      </c>
      <c r="G72" s="227" t="s">
        <v>33</v>
      </c>
      <c r="H72" s="228"/>
    </row>
    <row r="73" spans="1:8" ht="15.9" customHeight="1" x14ac:dyDescent="0.25">
      <c r="B73" s="229" t="s">
        <v>950</v>
      </c>
      <c r="C73" s="230"/>
      <c r="D73" s="230"/>
      <c r="E73" s="231"/>
      <c r="F73" s="232"/>
      <c r="G73" s="233"/>
      <c r="H73" s="234"/>
    </row>
    <row r="74" spans="1:8" ht="15.9" customHeight="1" x14ac:dyDescent="0.25">
      <c r="B74" s="235">
        <v>1</v>
      </c>
      <c r="C74" s="236" t="s">
        <v>407</v>
      </c>
      <c r="D74" s="237"/>
      <c r="E74" s="238"/>
      <c r="F74" s="239">
        <f>+'Allocators (CBR)'!F66</f>
        <v>0.58079999999999998</v>
      </c>
      <c r="G74" s="240">
        <f>+'Allocators (CBR)'!G66</f>
        <v>0.41920000000000002</v>
      </c>
      <c r="H74" s="240"/>
    </row>
    <row r="75" spans="1:8" ht="15.9" customHeight="1" x14ac:dyDescent="0.25">
      <c r="B75" s="235">
        <v>2</v>
      </c>
      <c r="C75" s="236" t="s">
        <v>408</v>
      </c>
      <c r="D75" s="237"/>
      <c r="E75" s="238"/>
      <c r="F75" s="241">
        <f>+'Allocators (CBR)'!F67</f>
        <v>0.626</v>
      </c>
      <c r="G75" s="238">
        <f>+'Allocators (CBR)'!G67</f>
        <v>0.374</v>
      </c>
      <c r="H75" s="238"/>
    </row>
    <row r="76" spans="1:8" ht="15.9" customHeight="1" x14ac:dyDescent="0.25">
      <c r="B76" s="235">
        <v>3</v>
      </c>
      <c r="C76" s="237" t="s">
        <v>409</v>
      </c>
      <c r="D76" s="237"/>
      <c r="E76" s="238"/>
      <c r="F76" s="241">
        <f>+'Allocators (CBR)'!F68</f>
        <v>0.60089999999999999</v>
      </c>
      <c r="G76" s="238">
        <f>+'Allocators (CBR)'!G68</f>
        <v>0.39910000000000001</v>
      </c>
      <c r="H76" s="238"/>
    </row>
    <row r="77" spans="1:8" ht="15.9" customHeight="1" x14ac:dyDescent="0.25">
      <c r="B77" s="235">
        <v>4</v>
      </c>
      <c r="C77" s="236" t="s">
        <v>410</v>
      </c>
      <c r="D77" s="237"/>
      <c r="E77" s="238"/>
      <c r="F77" s="241">
        <f>+'Allocators (CBR)'!F69</f>
        <v>0.66349999999999998</v>
      </c>
      <c r="G77" s="238">
        <f>+'Allocators (CBR)'!G69</f>
        <v>0.33650000000000002</v>
      </c>
      <c r="H77" s="238"/>
    </row>
    <row r="78" spans="1:8" ht="15.9" customHeight="1" x14ac:dyDescent="0.25">
      <c r="B78" s="217">
        <v>5</v>
      </c>
      <c r="C78" s="242" t="s">
        <v>411</v>
      </c>
      <c r="D78" s="243"/>
      <c r="E78" s="244"/>
      <c r="F78" s="245">
        <f>+'Allocators (CBR)'!F70</f>
        <v>0.69820000000000004</v>
      </c>
      <c r="G78" s="244">
        <f>+'Allocators (CBR)'!G70</f>
        <v>0.30180000000000001</v>
      </c>
      <c r="H78" s="244"/>
    </row>
    <row r="79" spans="1:8" ht="15.9" customHeight="1" x14ac:dyDescent="0.25">
      <c r="A79" s="246"/>
      <c r="C79" s="247"/>
      <c r="D79" s="247"/>
      <c r="E79" s="247"/>
      <c r="F79" s="247"/>
      <c r="G79" s="247"/>
      <c r="H79" s="247"/>
    </row>
    <row r="80" spans="1:8" ht="15.9" customHeight="1" x14ac:dyDescent="0.25">
      <c r="C80" s="247"/>
      <c r="D80" s="247"/>
      <c r="E80" s="247"/>
      <c r="F80" s="247"/>
      <c r="G80" s="247"/>
      <c r="H80" s="247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  <customPr name="EpmWorksheetKeyString_GUID" r:id="rId3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"/>
  <sheetViews>
    <sheetView workbookViewId="0">
      <selection activeCell="L35" sqref="L35"/>
    </sheetView>
  </sheetViews>
  <sheetFormatPr defaultRowHeight="14.4" x14ac:dyDescent="0.3"/>
  <sheetData/>
  <pageMargins left="0.7" right="0.7" top="0.75" bottom="0.75" header="0.3" footer="0.3"/>
  <customProperties>
    <customPr name="_pios_id" r:id="rId1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workbookViewId="0">
      <pane xSplit="2" ySplit="7" topLeftCell="C53" activePane="bottomRight" state="frozen"/>
      <selection sqref="A1:D5"/>
      <selection pane="topRight" sqref="A1:D5"/>
      <selection pane="bottomLeft" sqref="A1:D5"/>
      <selection pane="bottomRight" activeCell="J64" sqref="J64"/>
    </sheetView>
  </sheetViews>
  <sheetFormatPr defaultColWidth="8.88671875" defaultRowHeight="13.2" x14ac:dyDescent="0.25"/>
  <cols>
    <col min="1" max="1" width="5.44140625" style="62" customWidth="1"/>
    <col min="2" max="2" width="48.44140625" style="62" customWidth="1"/>
    <col min="3" max="3" width="17.44140625" style="62" customWidth="1"/>
    <col min="4" max="4" width="17.109375" style="62" customWidth="1"/>
    <col min="5" max="5" width="13.109375" style="62" customWidth="1"/>
    <col min="6" max="6" width="14.109375" style="62" customWidth="1"/>
    <col min="7" max="7" width="11.88671875" style="62" customWidth="1"/>
    <col min="8" max="8" width="16.44140625" style="62" customWidth="1"/>
    <col min="9" max="10" width="8.88671875" style="62" customWidth="1"/>
    <col min="11" max="16384" width="8.88671875" style="62"/>
  </cols>
  <sheetData>
    <row r="1" spans="1:9" ht="15.9" customHeight="1" x14ac:dyDescent="0.25">
      <c r="A1" s="61"/>
      <c r="B1" s="61" t="s">
        <v>349</v>
      </c>
      <c r="C1" s="61"/>
      <c r="D1" s="61"/>
      <c r="E1" s="61"/>
      <c r="F1" s="61"/>
      <c r="G1" s="61"/>
      <c r="H1" s="61"/>
    </row>
    <row r="2" spans="1:9" ht="15.9" customHeight="1" x14ac:dyDescent="0.25">
      <c r="A2" s="63"/>
      <c r="B2" s="63" t="s">
        <v>359</v>
      </c>
      <c r="C2" s="63"/>
      <c r="D2" s="63"/>
      <c r="E2" s="63"/>
      <c r="F2" s="63"/>
      <c r="G2" s="63"/>
      <c r="H2" s="63"/>
    </row>
    <row r="3" spans="1:9" ht="15.9" customHeight="1" x14ac:dyDescent="0.25">
      <c r="A3" s="63"/>
      <c r="B3" s="63" t="str">
        <f>+'Allocated (CBR)'!A3</f>
        <v>FOR THE YEAR ENDED DECEMBER 31, 2019</v>
      </c>
      <c r="C3" s="63"/>
      <c r="D3" s="63"/>
      <c r="E3" s="63"/>
      <c r="F3" s="63"/>
      <c r="G3" s="63"/>
      <c r="H3" s="63"/>
    </row>
    <row r="4" spans="1:9" ht="15" customHeight="1" x14ac:dyDescent="0.25">
      <c r="A4" s="63"/>
      <c r="B4" s="248" t="str">
        <f>+'Allocated (CBR)'!A4</f>
        <v>(spread is based on allocation factors developed for the December 2019 CBR)</v>
      </c>
      <c r="C4" s="136"/>
      <c r="D4" s="136"/>
      <c r="E4" s="136"/>
      <c r="F4" s="136"/>
      <c r="G4" s="136"/>
      <c r="H4" s="136"/>
    </row>
    <row r="5" spans="1:9" ht="15.9" customHeight="1" x14ac:dyDescent="0.25">
      <c r="A5" s="113"/>
      <c r="B5" s="1"/>
      <c r="C5" s="1"/>
      <c r="D5" s="1"/>
      <c r="E5" s="1"/>
      <c r="F5" s="1"/>
      <c r="G5" s="1"/>
      <c r="H5" s="1"/>
    </row>
    <row r="6" spans="1:9" ht="10.5" customHeight="1" x14ac:dyDescent="0.25"/>
    <row r="7" spans="1:9" ht="26.4" x14ac:dyDescent="0.25">
      <c r="A7" s="64"/>
      <c r="B7" s="65" t="s">
        <v>360</v>
      </c>
      <c r="C7" s="66" t="s">
        <v>361</v>
      </c>
      <c r="D7" s="66" t="s">
        <v>362</v>
      </c>
      <c r="E7" s="67" t="s">
        <v>363</v>
      </c>
      <c r="F7" s="114" t="s">
        <v>907</v>
      </c>
      <c r="G7" s="115" t="s">
        <v>908</v>
      </c>
      <c r="H7" s="66" t="s">
        <v>35</v>
      </c>
    </row>
    <row r="8" spans="1:9" ht="15.9" customHeight="1" x14ac:dyDescent="0.25">
      <c r="A8" s="68" t="s">
        <v>18</v>
      </c>
      <c r="B8" s="69"/>
      <c r="C8" s="116"/>
      <c r="D8" s="116"/>
      <c r="E8" s="117"/>
      <c r="F8" s="118"/>
      <c r="G8" s="118"/>
      <c r="H8" s="70"/>
    </row>
    <row r="9" spans="1:9" ht="15.9" customHeight="1" x14ac:dyDescent="0.25">
      <c r="A9" s="68"/>
      <c r="B9" s="71" t="s">
        <v>366</v>
      </c>
      <c r="C9" s="90"/>
      <c r="D9" s="90"/>
      <c r="E9" s="72">
        <v>1</v>
      </c>
      <c r="F9" s="119">
        <f t="shared" ref="F9:G13" si="0">SUMIF($B$66:$B$70,$E9,F$66:F$70)</f>
        <v>0.58079999999999998</v>
      </c>
      <c r="G9" s="119">
        <f t="shared" si="0"/>
        <v>0.41920000000000002</v>
      </c>
      <c r="H9" s="120"/>
      <c r="I9" s="137"/>
    </row>
    <row r="10" spans="1:9" ht="15.9" customHeight="1" x14ac:dyDescent="0.25">
      <c r="A10" s="68" t="s">
        <v>367</v>
      </c>
      <c r="B10" s="71" t="s">
        <v>368</v>
      </c>
      <c r="C10" s="90"/>
      <c r="D10" s="90"/>
      <c r="E10" s="73">
        <v>2</v>
      </c>
      <c r="F10" s="119">
        <f t="shared" si="0"/>
        <v>0.626</v>
      </c>
      <c r="G10" s="119">
        <f t="shared" si="0"/>
        <v>0.374</v>
      </c>
      <c r="H10" s="70"/>
    </row>
    <row r="11" spans="1:9" ht="15.9" customHeight="1" x14ac:dyDescent="0.25">
      <c r="A11" s="68" t="s">
        <v>367</v>
      </c>
      <c r="B11" s="71" t="s">
        <v>369</v>
      </c>
      <c r="C11" s="90"/>
      <c r="D11" s="90"/>
      <c r="E11" s="73">
        <v>1</v>
      </c>
      <c r="F11" s="119">
        <f t="shared" si="0"/>
        <v>0.58079999999999998</v>
      </c>
      <c r="G11" s="119">
        <f t="shared" si="0"/>
        <v>0.41920000000000002</v>
      </c>
      <c r="H11" s="70"/>
    </row>
    <row r="12" spans="1:9" ht="15.9" customHeight="1" x14ac:dyDescent="0.25">
      <c r="A12" s="85" t="s">
        <v>367</v>
      </c>
      <c r="B12" s="133" t="s">
        <v>911</v>
      </c>
      <c r="C12" s="90"/>
      <c r="D12" s="90"/>
      <c r="E12" s="73">
        <v>4</v>
      </c>
      <c r="F12" s="142">
        <f t="shared" si="0"/>
        <v>0.66349999999999998</v>
      </c>
      <c r="G12" s="142">
        <f t="shared" si="0"/>
        <v>0.33650000000000002</v>
      </c>
      <c r="H12" s="84"/>
    </row>
    <row r="13" spans="1:9" ht="15.9" customHeight="1" x14ac:dyDescent="0.25">
      <c r="A13" s="68" t="s">
        <v>367</v>
      </c>
      <c r="B13" s="71" t="s">
        <v>370</v>
      </c>
      <c r="C13" s="90"/>
      <c r="D13" s="90"/>
      <c r="E13" s="74">
        <v>1</v>
      </c>
      <c r="F13" s="122">
        <f t="shared" si="0"/>
        <v>0.58079999999999998</v>
      </c>
      <c r="G13" s="122">
        <f t="shared" si="0"/>
        <v>0.41920000000000002</v>
      </c>
      <c r="H13" s="70"/>
    </row>
    <row r="14" spans="1:9" ht="15.9" customHeight="1" x14ac:dyDescent="0.25">
      <c r="A14" s="68" t="s">
        <v>367</v>
      </c>
      <c r="B14" s="69" t="s">
        <v>371</v>
      </c>
      <c r="C14" s="90"/>
      <c r="D14" s="90"/>
      <c r="E14" s="72"/>
      <c r="F14" s="75"/>
      <c r="G14" s="76"/>
      <c r="H14" s="116"/>
    </row>
    <row r="15" spans="1:9" ht="15.9" customHeight="1" x14ac:dyDescent="0.25">
      <c r="A15" s="68" t="s">
        <v>17</v>
      </c>
      <c r="B15" s="69"/>
      <c r="C15" s="90"/>
      <c r="D15" s="90"/>
      <c r="E15" s="73"/>
      <c r="F15" s="76"/>
      <c r="G15" s="76"/>
      <c r="H15" s="90"/>
    </row>
    <row r="16" spans="1:9" ht="15.9" customHeight="1" x14ac:dyDescent="0.25">
      <c r="A16" s="68"/>
      <c r="B16" s="71" t="s">
        <v>372</v>
      </c>
      <c r="C16" s="90"/>
      <c r="D16" s="90"/>
      <c r="E16" s="72">
        <v>1</v>
      </c>
      <c r="F16" s="119">
        <f t="shared" ref="F16:G22" si="1">SUMIF($B$66:$B$70,$E16,F$66:F$70)</f>
        <v>0.58079999999999998</v>
      </c>
      <c r="G16" s="119">
        <f t="shared" si="1"/>
        <v>0.41920000000000002</v>
      </c>
      <c r="H16" s="70"/>
    </row>
    <row r="17" spans="1:8" ht="15.9" customHeight="1" x14ac:dyDescent="0.25">
      <c r="A17" s="68" t="s">
        <v>367</v>
      </c>
      <c r="B17" s="71" t="s">
        <v>373</v>
      </c>
      <c r="C17" s="90"/>
      <c r="D17" s="90"/>
      <c r="E17" s="73">
        <v>1</v>
      </c>
      <c r="F17" s="119">
        <f t="shared" si="1"/>
        <v>0.58079999999999998</v>
      </c>
      <c r="G17" s="119">
        <f t="shared" si="1"/>
        <v>0.41920000000000002</v>
      </c>
      <c r="H17" s="70"/>
    </row>
    <row r="18" spans="1:8" ht="15.9" customHeight="1" x14ac:dyDescent="0.25">
      <c r="A18" s="68" t="s">
        <v>367</v>
      </c>
      <c r="B18" s="71" t="s">
        <v>374</v>
      </c>
      <c r="C18" s="90"/>
      <c r="D18" s="90"/>
      <c r="E18" s="73">
        <v>1</v>
      </c>
      <c r="F18" s="119">
        <f t="shared" si="1"/>
        <v>0.58079999999999998</v>
      </c>
      <c r="G18" s="119">
        <f t="shared" si="1"/>
        <v>0.41920000000000002</v>
      </c>
      <c r="H18" s="70"/>
    </row>
    <row r="19" spans="1:8" ht="15.9" customHeight="1" x14ac:dyDescent="0.25">
      <c r="A19" s="68"/>
      <c r="B19" s="71" t="s">
        <v>375</v>
      </c>
      <c r="C19" s="90"/>
      <c r="D19" s="90"/>
      <c r="E19" s="73">
        <v>1</v>
      </c>
      <c r="F19" s="119">
        <f t="shared" si="1"/>
        <v>0.58079999999999998</v>
      </c>
      <c r="G19" s="119">
        <f t="shared" si="1"/>
        <v>0.41920000000000002</v>
      </c>
      <c r="H19" s="70"/>
    </row>
    <row r="20" spans="1:8" ht="15.9" customHeight="1" x14ac:dyDescent="0.25">
      <c r="A20" s="68" t="s">
        <v>367</v>
      </c>
      <c r="B20" s="71" t="s">
        <v>376</v>
      </c>
      <c r="C20" s="90"/>
      <c r="D20" s="90"/>
      <c r="E20" s="73">
        <v>1</v>
      </c>
      <c r="F20" s="119">
        <f t="shared" si="1"/>
        <v>0.58079999999999998</v>
      </c>
      <c r="G20" s="119">
        <f t="shared" si="1"/>
        <v>0.41920000000000002</v>
      </c>
      <c r="H20" s="70"/>
    </row>
    <row r="21" spans="1:8" ht="15.9" customHeight="1" x14ac:dyDescent="0.25">
      <c r="A21" s="68"/>
      <c r="B21" s="71" t="s">
        <v>377</v>
      </c>
      <c r="C21" s="90"/>
      <c r="D21" s="90"/>
      <c r="E21" s="73">
        <v>1</v>
      </c>
      <c r="F21" s="119">
        <f t="shared" si="1"/>
        <v>0.58079999999999998</v>
      </c>
      <c r="G21" s="119">
        <f t="shared" si="1"/>
        <v>0.41920000000000002</v>
      </c>
      <c r="H21" s="70"/>
    </row>
    <row r="22" spans="1:8" ht="15.9" customHeight="1" x14ac:dyDescent="0.25">
      <c r="A22" s="68"/>
      <c r="B22" s="71" t="s">
        <v>378</v>
      </c>
      <c r="C22" s="121"/>
      <c r="D22" s="121"/>
      <c r="E22" s="74">
        <v>1</v>
      </c>
      <c r="F22" s="122">
        <f t="shared" si="1"/>
        <v>0.58079999999999998</v>
      </c>
      <c r="G22" s="122">
        <f t="shared" si="1"/>
        <v>0.41920000000000002</v>
      </c>
      <c r="H22" s="121"/>
    </row>
    <row r="23" spans="1:8" ht="15.9" customHeight="1" x14ac:dyDescent="0.25">
      <c r="A23" s="68" t="s">
        <v>367</v>
      </c>
      <c r="B23" s="69" t="s">
        <v>371</v>
      </c>
      <c r="C23" s="90"/>
      <c r="D23" s="90"/>
      <c r="E23" s="72"/>
      <c r="F23" s="75"/>
      <c r="G23" s="76"/>
      <c r="H23" s="70"/>
    </row>
    <row r="24" spans="1:8" ht="15.9" customHeight="1" x14ac:dyDescent="0.25">
      <c r="A24" s="68" t="s">
        <v>15</v>
      </c>
      <c r="B24" s="69"/>
      <c r="C24" s="90"/>
      <c r="D24" s="90"/>
      <c r="E24" s="73"/>
      <c r="F24" s="76"/>
      <c r="G24" s="76"/>
      <c r="H24" s="70"/>
    </row>
    <row r="25" spans="1:8" ht="15.9" customHeight="1" x14ac:dyDescent="0.25">
      <c r="A25" s="68"/>
      <c r="B25" s="71" t="s">
        <v>379</v>
      </c>
      <c r="C25" s="90"/>
      <c r="D25" s="90"/>
      <c r="E25" s="72">
        <v>4</v>
      </c>
      <c r="F25" s="119">
        <f t="shared" ref="F25:G37" si="2">SUMIF($B$66:$B$70,$E25,F$66:F$70)</f>
        <v>0.66349999999999998</v>
      </c>
      <c r="G25" s="119">
        <f t="shared" si="2"/>
        <v>0.33650000000000002</v>
      </c>
      <c r="H25" s="70"/>
    </row>
    <row r="26" spans="1:8" ht="15.9" customHeight="1" x14ac:dyDescent="0.25">
      <c r="A26" s="68"/>
      <c r="B26" s="71" t="s">
        <v>380</v>
      </c>
      <c r="C26" s="90"/>
      <c r="D26" s="90"/>
      <c r="E26" s="72">
        <v>4</v>
      </c>
      <c r="F26" s="119">
        <f t="shared" si="2"/>
        <v>0.66349999999999998</v>
      </c>
      <c r="G26" s="119">
        <f t="shared" si="2"/>
        <v>0.33650000000000002</v>
      </c>
      <c r="H26" s="70"/>
    </row>
    <row r="27" spans="1:8" ht="15.9" customHeight="1" x14ac:dyDescent="0.25">
      <c r="A27" s="68" t="s">
        <v>367</v>
      </c>
      <c r="B27" s="71" t="s">
        <v>381</v>
      </c>
      <c r="C27" s="90"/>
      <c r="D27" s="90"/>
      <c r="E27" s="73">
        <v>4</v>
      </c>
      <c r="F27" s="119">
        <f t="shared" si="2"/>
        <v>0.66349999999999998</v>
      </c>
      <c r="G27" s="119">
        <f t="shared" si="2"/>
        <v>0.33650000000000002</v>
      </c>
      <c r="H27" s="70"/>
    </row>
    <row r="28" spans="1:8" ht="15.9" customHeight="1" x14ac:dyDescent="0.25">
      <c r="A28" s="68" t="s">
        <v>367</v>
      </c>
      <c r="B28" s="71" t="s">
        <v>382</v>
      </c>
      <c r="C28" s="90"/>
      <c r="D28" s="90"/>
      <c r="E28" s="73">
        <v>4</v>
      </c>
      <c r="F28" s="119">
        <f t="shared" si="2"/>
        <v>0.66349999999999998</v>
      </c>
      <c r="G28" s="119">
        <f t="shared" si="2"/>
        <v>0.33650000000000002</v>
      </c>
      <c r="H28" s="70"/>
    </row>
    <row r="29" spans="1:8" ht="15.9" customHeight="1" x14ac:dyDescent="0.25">
      <c r="A29" s="68" t="s">
        <v>367</v>
      </c>
      <c r="B29" s="71" t="s">
        <v>383</v>
      </c>
      <c r="C29" s="90"/>
      <c r="D29" s="90"/>
      <c r="E29" s="73">
        <v>3</v>
      </c>
      <c r="F29" s="119">
        <f t="shared" si="2"/>
        <v>0.60089999999999999</v>
      </c>
      <c r="G29" s="119">
        <f t="shared" si="2"/>
        <v>0.39910000000000001</v>
      </c>
      <c r="H29" s="70"/>
    </row>
    <row r="30" spans="1:8" ht="15.9" customHeight="1" x14ac:dyDescent="0.25">
      <c r="A30" s="68" t="s">
        <v>367</v>
      </c>
      <c r="B30" s="71" t="s">
        <v>384</v>
      </c>
      <c r="C30" s="90"/>
      <c r="D30" s="90"/>
      <c r="E30" s="73">
        <v>1</v>
      </c>
      <c r="F30" s="119">
        <f t="shared" si="2"/>
        <v>0.58079999999999998</v>
      </c>
      <c r="G30" s="119">
        <f t="shared" si="2"/>
        <v>0.41920000000000002</v>
      </c>
      <c r="H30" s="70"/>
    </row>
    <row r="31" spans="1:8" ht="15.9" customHeight="1" x14ac:dyDescent="0.25">
      <c r="A31" s="68" t="s">
        <v>367</v>
      </c>
      <c r="B31" s="71" t="s">
        <v>385</v>
      </c>
      <c r="C31" s="90"/>
      <c r="D31" s="90"/>
      <c r="E31" s="73">
        <v>5</v>
      </c>
      <c r="F31" s="119">
        <f t="shared" si="2"/>
        <v>0.69820000000000004</v>
      </c>
      <c r="G31" s="119">
        <f t="shared" si="2"/>
        <v>0.30180000000000001</v>
      </c>
      <c r="H31" s="70"/>
    </row>
    <row r="32" spans="1:8" ht="15.9" customHeight="1" x14ac:dyDescent="0.25">
      <c r="A32" s="68"/>
      <c r="B32" s="71" t="s">
        <v>386</v>
      </c>
      <c r="C32" s="90"/>
      <c r="D32" s="90"/>
      <c r="E32" s="73">
        <v>4</v>
      </c>
      <c r="F32" s="119">
        <f t="shared" si="2"/>
        <v>0.66349999999999998</v>
      </c>
      <c r="G32" s="119">
        <f t="shared" si="2"/>
        <v>0.33650000000000002</v>
      </c>
      <c r="H32" s="70"/>
    </row>
    <row r="33" spans="1:8" ht="15.9" customHeight="1" x14ac:dyDescent="0.25">
      <c r="A33" s="68" t="s">
        <v>367</v>
      </c>
      <c r="B33" s="71" t="s">
        <v>387</v>
      </c>
      <c r="C33" s="90"/>
      <c r="D33" s="90"/>
      <c r="E33" s="73">
        <v>4</v>
      </c>
      <c r="F33" s="119">
        <f t="shared" si="2"/>
        <v>0.66349999999999998</v>
      </c>
      <c r="G33" s="119">
        <f t="shared" si="2"/>
        <v>0.33650000000000002</v>
      </c>
      <c r="H33" s="70"/>
    </row>
    <row r="34" spans="1:8" ht="15.9" customHeight="1" x14ac:dyDescent="0.25">
      <c r="A34" s="68" t="s">
        <v>367</v>
      </c>
      <c r="B34" s="71" t="s">
        <v>388</v>
      </c>
      <c r="C34" s="90"/>
      <c r="D34" s="90"/>
      <c r="E34" s="73">
        <v>4</v>
      </c>
      <c r="F34" s="119">
        <f t="shared" si="2"/>
        <v>0.66349999999999998</v>
      </c>
      <c r="G34" s="119">
        <f t="shared" si="2"/>
        <v>0.33650000000000002</v>
      </c>
      <c r="H34" s="70"/>
    </row>
    <row r="35" spans="1:8" ht="15.9" customHeight="1" x14ac:dyDescent="0.25">
      <c r="A35" s="68" t="s">
        <v>367</v>
      </c>
      <c r="B35" s="71" t="s">
        <v>389</v>
      </c>
      <c r="C35" s="90"/>
      <c r="D35" s="90"/>
      <c r="E35" s="73">
        <v>4</v>
      </c>
      <c r="F35" s="119">
        <f t="shared" si="2"/>
        <v>0.66349999999999998</v>
      </c>
      <c r="G35" s="119">
        <f t="shared" si="2"/>
        <v>0.33650000000000002</v>
      </c>
      <c r="H35" s="70"/>
    </row>
    <row r="36" spans="1:8" ht="15.9" customHeight="1" x14ac:dyDescent="0.25">
      <c r="A36" s="68"/>
      <c r="B36" s="71" t="s">
        <v>390</v>
      </c>
      <c r="C36" s="90"/>
      <c r="D36" s="90"/>
      <c r="E36" s="73">
        <v>4</v>
      </c>
      <c r="F36" s="119">
        <f t="shared" si="2"/>
        <v>0.66349999999999998</v>
      </c>
      <c r="G36" s="119">
        <f t="shared" si="2"/>
        <v>0.33650000000000002</v>
      </c>
      <c r="H36" s="70"/>
    </row>
    <row r="37" spans="1:8" ht="15.9" customHeight="1" x14ac:dyDescent="0.25">
      <c r="A37" s="68"/>
      <c r="B37" s="71" t="s">
        <v>391</v>
      </c>
      <c r="C37" s="121"/>
      <c r="D37" s="121"/>
      <c r="E37" s="74">
        <v>4</v>
      </c>
      <c r="F37" s="122">
        <f t="shared" si="2"/>
        <v>0.66349999999999998</v>
      </c>
      <c r="G37" s="122">
        <f t="shared" si="2"/>
        <v>0.33650000000000002</v>
      </c>
      <c r="H37" s="121"/>
    </row>
    <row r="38" spans="1:8" ht="15.9" customHeight="1" x14ac:dyDescent="0.25">
      <c r="A38" s="68" t="s">
        <v>367</v>
      </c>
      <c r="B38" s="69" t="s">
        <v>371</v>
      </c>
      <c r="C38" s="90"/>
      <c r="D38" s="90"/>
      <c r="E38" s="72"/>
      <c r="F38" s="75"/>
      <c r="G38" s="76"/>
      <c r="H38" s="70"/>
    </row>
    <row r="39" spans="1:8" ht="15.9" customHeight="1" x14ac:dyDescent="0.25">
      <c r="A39" s="68" t="s">
        <v>392</v>
      </c>
      <c r="B39" s="69"/>
      <c r="C39" s="90"/>
      <c r="D39" s="90"/>
      <c r="E39" s="73"/>
      <c r="F39" s="76"/>
      <c r="G39" s="76"/>
      <c r="H39" s="70"/>
    </row>
    <row r="40" spans="1:8" ht="15.9" customHeight="1" x14ac:dyDescent="0.25">
      <c r="A40" s="68"/>
      <c r="B40" s="71" t="s">
        <v>393</v>
      </c>
      <c r="C40" s="90"/>
      <c r="D40" s="90"/>
      <c r="E40" s="73">
        <v>4</v>
      </c>
      <c r="F40" s="119">
        <f>SUMIF($B$66:$B$70,$E40,F$66:F$70)</f>
        <v>0.66349999999999998</v>
      </c>
      <c r="G40" s="119">
        <f>SUMIF($B$66:$B$70,$E40,G$66:G$70)</f>
        <v>0.33650000000000002</v>
      </c>
      <c r="H40" s="70"/>
    </row>
    <row r="41" spans="1:8" ht="15.9" customHeight="1" x14ac:dyDescent="0.25">
      <c r="A41" s="68"/>
      <c r="B41" s="78" t="s">
        <v>394</v>
      </c>
      <c r="C41" s="121"/>
      <c r="D41" s="121"/>
      <c r="E41" s="74">
        <v>4</v>
      </c>
      <c r="F41" s="122">
        <f>SUMIF($B$66:$B$70,$E41,F$66:F$70)</f>
        <v>0.66349999999999998</v>
      </c>
      <c r="G41" s="122">
        <f>SUMIF($B$66:$B$70,$E41,G$66:G$70)</f>
        <v>0.33650000000000002</v>
      </c>
      <c r="H41" s="121"/>
    </row>
    <row r="42" spans="1:8" ht="15.9" customHeight="1" x14ac:dyDescent="0.25">
      <c r="A42" s="68"/>
      <c r="B42" s="69" t="s">
        <v>371</v>
      </c>
      <c r="C42" s="90"/>
      <c r="D42" s="90"/>
      <c r="E42" s="72"/>
      <c r="F42" s="76"/>
      <c r="G42" s="76"/>
      <c r="H42" s="70"/>
    </row>
    <row r="43" spans="1:8" ht="15.9" customHeight="1" x14ac:dyDescent="0.25">
      <c r="A43" s="68" t="s">
        <v>13</v>
      </c>
      <c r="B43" s="71"/>
      <c r="C43" s="90"/>
      <c r="D43" s="90"/>
      <c r="E43" s="72"/>
      <c r="F43" s="76"/>
      <c r="G43" s="76"/>
      <c r="H43" s="70"/>
    </row>
    <row r="44" spans="1:8" ht="15.9" customHeight="1" x14ac:dyDescent="0.25">
      <c r="A44" s="68"/>
      <c r="B44" s="71" t="s">
        <v>395</v>
      </c>
      <c r="C44" s="90"/>
      <c r="D44" s="90"/>
      <c r="E44" s="73">
        <v>4</v>
      </c>
      <c r="F44" s="119">
        <f t="shared" ref="F44:G46" si="3">SUMIF($B$66:$B$70,$E44,F$66:F$70)</f>
        <v>0.66349999999999998</v>
      </c>
      <c r="G44" s="119">
        <f t="shared" si="3"/>
        <v>0.33650000000000002</v>
      </c>
      <c r="H44" s="70"/>
    </row>
    <row r="45" spans="1:8" ht="15.9" customHeight="1" x14ac:dyDescent="0.25">
      <c r="A45" s="68"/>
      <c r="B45" s="71" t="s">
        <v>396</v>
      </c>
      <c r="C45" s="90"/>
      <c r="D45" s="90"/>
      <c r="E45" s="73">
        <v>4</v>
      </c>
      <c r="F45" s="119">
        <f t="shared" si="3"/>
        <v>0.66349999999999998</v>
      </c>
      <c r="G45" s="119">
        <f t="shared" si="3"/>
        <v>0.33650000000000002</v>
      </c>
      <c r="H45" s="70"/>
    </row>
    <row r="46" spans="1:8" ht="15.9" customHeight="1" x14ac:dyDescent="0.25">
      <c r="A46" s="68"/>
      <c r="B46" s="78" t="s">
        <v>397</v>
      </c>
      <c r="C46" s="121"/>
      <c r="D46" s="121"/>
      <c r="E46" s="74">
        <v>4</v>
      </c>
      <c r="F46" s="122">
        <f t="shared" si="3"/>
        <v>0.66349999999999998</v>
      </c>
      <c r="G46" s="122">
        <f t="shared" si="3"/>
        <v>0.33650000000000002</v>
      </c>
      <c r="H46" s="70"/>
    </row>
    <row r="47" spans="1:8" ht="15.9" customHeight="1" x14ac:dyDescent="0.25">
      <c r="A47" s="68" t="s">
        <v>367</v>
      </c>
      <c r="B47" s="69" t="s">
        <v>371</v>
      </c>
      <c r="C47" s="90"/>
      <c r="D47" s="90"/>
      <c r="E47" s="72"/>
      <c r="F47" s="76"/>
      <c r="G47" s="76"/>
      <c r="H47" s="123"/>
    </row>
    <row r="48" spans="1:8" ht="15.9" customHeight="1" x14ac:dyDescent="0.25">
      <c r="A48" s="68" t="s">
        <v>398</v>
      </c>
      <c r="B48" s="69"/>
      <c r="C48" s="90"/>
      <c r="D48" s="90"/>
      <c r="E48" s="73"/>
      <c r="F48" s="76"/>
      <c r="G48" s="76"/>
      <c r="H48" s="70"/>
    </row>
    <row r="49" spans="1:8" ht="15.9" customHeight="1" x14ac:dyDescent="0.25">
      <c r="A49" s="68"/>
      <c r="B49" s="78" t="s">
        <v>949</v>
      </c>
      <c r="C49" s="121"/>
      <c r="D49" s="121"/>
      <c r="E49" s="80">
        <v>4</v>
      </c>
      <c r="F49" s="122">
        <f>SUMIF($B$66:$B$70,$E49,F$66:F$70)</f>
        <v>0.66349999999999998</v>
      </c>
      <c r="G49" s="122">
        <f>SUMIF($B$66:$B$70,$E49,G$66:G$70)</f>
        <v>0.33650000000000002</v>
      </c>
      <c r="H49" s="70"/>
    </row>
    <row r="50" spans="1:8" ht="15.9" customHeight="1" x14ac:dyDescent="0.25">
      <c r="A50" s="68" t="s">
        <v>367</v>
      </c>
      <c r="B50" s="69" t="s">
        <v>371</v>
      </c>
      <c r="C50" s="90"/>
      <c r="D50" s="90"/>
      <c r="E50" s="72"/>
      <c r="F50" s="76"/>
      <c r="G50" s="76"/>
      <c r="H50" s="123"/>
    </row>
    <row r="51" spans="1:8" ht="15.9" customHeight="1" x14ac:dyDescent="0.25">
      <c r="A51" s="85" t="s">
        <v>399</v>
      </c>
      <c r="B51" s="69"/>
      <c r="C51" s="90"/>
      <c r="D51" s="90"/>
      <c r="E51" s="73"/>
      <c r="F51" s="76"/>
      <c r="G51" s="76"/>
      <c r="H51" s="70"/>
    </row>
    <row r="52" spans="1:8" ht="15.9" customHeight="1" x14ac:dyDescent="0.25">
      <c r="A52" s="85"/>
      <c r="B52" s="78" t="s">
        <v>339</v>
      </c>
      <c r="C52" s="121"/>
      <c r="D52" s="121"/>
      <c r="E52" s="80">
        <v>4</v>
      </c>
      <c r="F52" s="122">
        <f>SUMIF($B$66:$B$70,$E52,F$66:F$70)</f>
        <v>0.66349999999999998</v>
      </c>
      <c r="G52" s="122">
        <f>SUMIF($B$66:$B$70,$E52,G$66:G$70)</f>
        <v>0.33650000000000002</v>
      </c>
      <c r="H52" s="70"/>
    </row>
    <row r="53" spans="1:8" ht="15.9" customHeight="1" x14ac:dyDescent="0.25">
      <c r="A53" s="85" t="s">
        <v>367</v>
      </c>
      <c r="B53" s="69" t="s">
        <v>371</v>
      </c>
      <c r="C53" s="90"/>
      <c r="D53" s="90"/>
      <c r="E53" s="73"/>
      <c r="F53" s="76"/>
      <c r="G53" s="76"/>
      <c r="H53" s="123"/>
    </row>
    <row r="54" spans="1:8" ht="15.9" customHeight="1" x14ac:dyDescent="0.25">
      <c r="A54" s="81" t="s">
        <v>400</v>
      </c>
      <c r="B54" s="79"/>
      <c r="C54" s="90"/>
      <c r="D54" s="90"/>
      <c r="E54" s="82"/>
      <c r="F54" s="83"/>
      <c r="G54" s="83"/>
      <c r="H54" s="70"/>
    </row>
    <row r="55" spans="1:8" ht="15.9" customHeight="1" x14ac:dyDescent="0.25">
      <c r="A55" s="81"/>
      <c r="B55" s="78" t="s">
        <v>401</v>
      </c>
      <c r="C55" s="121"/>
      <c r="D55" s="121"/>
      <c r="E55" s="80">
        <v>4</v>
      </c>
      <c r="F55" s="122">
        <f>SUMIF($B$66:$B$70,$E55,F$66:F$70)</f>
        <v>0.66349999999999998</v>
      </c>
      <c r="G55" s="122">
        <f>SUMIF($B$66:$B$70,$E55,G$66:G$70)</f>
        <v>0.33650000000000002</v>
      </c>
      <c r="H55" s="124"/>
    </row>
    <row r="56" spans="1:8" ht="15.9" customHeight="1" x14ac:dyDescent="0.25">
      <c r="A56" s="81"/>
      <c r="B56" s="69" t="s">
        <v>371</v>
      </c>
      <c r="C56" s="90"/>
      <c r="D56" s="90"/>
      <c r="E56" s="72"/>
      <c r="F56" s="76"/>
      <c r="G56" s="76"/>
      <c r="H56" s="70"/>
    </row>
    <row r="57" spans="1:8" ht="12" customHeight="1" x14ac:dyDescent="0.25">
      <c r="A57" s="85" t="s">
        <v>402</v>
      </c>
      <c r="B57" s="69"/>
      <c r="C57" s="90"/>
      <c r="D57" s="90"/>
      <c r="E57" s="73"/>
      <c r="F57" s="76"/>
      <c r="G57" s="76"/>
      <c r="H57" s="70"/>
    </row>
    <row r="58" spans="1:8" ht="15.9" customHeight="1" x14ac:dyDescent="0.25">
      <c r="A58" s="85"/>
      <c r="B58" s="78" t="s">
        <v>403</v>
      </c>
      <c r="C58" s="90"/>
      <c r="D58" s="90"/>
      <c r="E58" s="73">
        <v>4</v>
      </c>
      <c r="F58" s="119">
        <f>SUMIF($B$66:$B$70,$E58,F$66:F$70)</f>
        <v>0.66349999999999998</v>
      </c>
      <c r="G58" s="119">
        <f>SUMIF($B$66:$B$70,$E58,G$66:G$70)</f>
        <v>0.33650000000000002</v>
      </c>
      <c r="H58" s="70"/>
    </row>
    <row r="59" spans="1:8" ht="11.25" customHeight="1" x14ac:dyDescent="0.25">
      <c r="A59" s="68"/>
      <c r="B59" s="78" t="s">
        <v>404</v>
      </c>
      <c r="C59" s="121"/>
      <c r="D59" s="121"/>
      <c r="E59" s="74">
        <v>4</v>
      </c>
      <c r="F59" s="122">
        <f>SUMIF($B$66:$B$70,$E59,F$66:F$70)</f>
        <v>0.66349999999999998</v>
      </c>
      <c r="G59" s="122">
        <f>SUMIF($B$66:$B$70,$E59,G$66:G$70)</f>
        <v>0.33650000000000002</v>
      </c>
      <c r="H59" s="124"/>
    </row>
    <row r="60" spans="1:8" ht="15.9" customHeight="1" x14ac:dyDescent="0.25">
      <c r="A60" s="87" t="s">
        <v>367</v>
      </c>
      <c r="B60" s="88" t="s">
        <v>371</v>
      </c>
      <c r="C60" s="121"/>
      <c r="D60" s="121"/>
      <c r="E60" s="80"/>
      <c r="F60" s="89"/>
      <c r="G60" s="89"/>
      <c r="H60" s="121"/>
    </row>
    <row r="61" spans="1:8" ht="15.9" customHeight="1" x14ac:dyDescent="0.25">
      <c r="A61" s="68"/>
      <c r="B61" s="69"/>
      <c r="C61" s="90"/>
      <c r="D61" s="90"/>
      <c r="E61" s="90"/>
      <c r="F61" s="76"/>
      <c r="G61" s="76"/>
      <c r="H61" s="70"/>
    </row>
    <row r="62" spans="1:8" ht="15.9" customHeight="1" x14ac:dyDescent="0.55000000000000004">
      <c r="A62" s="87" t="s">
        <v>405</v>
      </c>
      <c r="B62" s="88"/>
      <c r="C62" s="91"/>
      <c r="D62" s="91"/>
      <c r="E62" s="91"/>
      <c r="F62" s="92"/>
      <c r="G62" s="93"/>
      <c r="H62" s="91"/>
    </row>
    <row r="63" spans="1:8" ht="15.9" customHeight="1" x14ac:dyDescent="0.25">
      <c r="C63" s="94"/>
      <c r="D63" s="94"/>
      <c r="E63" s="94"/>
      <c r="F63" s="94"/>
    </row>
    <row r="64" spans="1:8" ht="15.9" customHeight="1" x14ac:dyDescent="0.25">
      <c r="E64" s="148"/>
      <c r="F64" s="125" t="s">
        <v>34</v>
      </c>
      <c r="G64" s="126" t="s">
        <v>33</v>
      </c>
      <c r="H64" s="141"/>
    </row>
    <row r="65" spans="2:10" ht="15.9" customHeight="1" x14ac:dyDescent="0.25">
      <c r="B65" s="127" t="s">
        <v>406</v>
      </c>
      <c r="C65" s="128"/>
      <c r="D65" s="128"/>
      <c r="E65" s="147"/>
      <c r="F65" s="144"/>
      <c r="G65" s="145"/>
      <c r="H65" s="146"/>
      <c r="J65" s="101"/>
    </row>
    <row r="66" spans="2:10" ht="15.9" customHeight="1" x14ac:dyDescent="0.25">
      <c r="B66" s="95">
        <v>1</v>
      </c>
      <c r="C66" s="96" t="s">
        <v>407</v>
      </c>
      <c r="D66" s="97"/>
      <c r="E66" s="100"/>
      <c r="F66" s="129">
        <f>+[1]Lead!$E$9</f>
        <v>0.58079999999999998</v>
      </c>
      <c r="G66" s="130">
        <f>+[1]Lead!F9</f>
        <v>0.41920000000000002</v>
      </c>
      <c r="H66" s="130"/>
    </row>
    <row r="67" spans="2:10" ht="15.9" customHeight="1" x14ac:dyDescent="0.25">
      <c r="B67" s="95">
        <v>2</v>
      </c>
      <c r="C67" s="96" t="s">
        <v>408</v>
      </c>
      <c r="D67" s="97"/>
      <c r="E67" s="100"/>
      <c r="F67" s="99">
        <f>[1]Lead!E12</f>
        <v>0.626</v>
      </c>
      <c r="G67" s="100">
        <f>+[1]Lead!F12</f>
        <v>0.374</v>
      </c>
      <c r="H67" s="100"/>
    </row>
    <row r="68" spans="2:10" ht="15.9" customHeight="1" x14ac:dyDescent="0.25">
      <c r="B68" s="95">
        <v>3</v>
      </c>
      <c r="C68" s="97" t="s">
        <v>409</v>
      </c>
      <c r="D68" s="97"/>
      <c r="E68" s="100"/>
      <c r="F68" s="99">
        <f>+[1]Lead!E19</f>
        <v>0.60089999999999999</v>
      </c>
      <c r="G68" s="100">
        <f>+[1]Lead!F19</f>
        <v>0.39910000000000001</v>
      </c>
      <c r="H68" s="100"/>
    </row>
    <row r="69" spans="2:10" x14ac:dyDescent="0.25">
      <c r="B69" s="95">
        <v>4</v>
      </c>
      <c r="C69" s="96" t="s">
        <v>410</v>
      </c>
      <c r="D69" s="97"/>
      <c r="E69" s="100"/>
      <c r="F69" s="99">
        <f>+[1]Lead!E35</f>
        <v>0.66349999999999998</v>
      </c>
      <c r="G69" s="100">
        <f>+[1]Lead!F35</f>
        <v>0.33650000000000002</v>
      </c>
      <c r="H69" s="100"/>
    </row>
    <row r="70" spans="2:10" x14ac:dyDescent="0.25">
      <c r="B70" s="86">
        <v>5</v>
      </c>
      <c r="C70" s="102" t="s">
        <v>411</v>
      </c>
      <c r="D70" s="103"/>
      <c r="E70" s="105"/>
      <c r="F70" s="104">
        <f>+[1]Lead!E40</f>
        <v>0.69820000000000004</v>
      </c>
      <c r="G70" s="105">
        <f>+[1]Lead!F40</f>
        <v>0.30180000000000001</v>
      </c>
      <c r="H70" s="105"/>
    </row>
    <row r="71" spans="2:10" x14ac:dyDescent="0.25">
      <c r="B71" s="131"/>
      <c r="C71" s="131"/>
      <c r="D71" s="131"/>
      <c r="E71" s="131"/>
      <c r="F71" s="131"/>
      <c r="G71" s="131"/>
    </row>
    <row r="72" spans="2:10" x14ac:dyDescent="0.25">
      <c r="C72" s="98"/>
      <c r="D72" s="98"/>
      <c r="E72" s="98"/>
      <c r="F72" s="98"/>
      <c r="G72" s="98"/>
      <c r="H72" s="98"/>
    </row>
  </sheetData>
  <mergeCells count="1">
    <mergeCell ref="B5:H5"/>
  </mergeCells>
  <printOptions headings="1"/>
  <pageMargins left="0.7" right="0.7" top="0.75" bottom="0.75" header="0.3" footer="0.3"/>
  <pageSetup scale="61" fitToHeight="0" orientation="portrait" r:id="rId1"/>
  <headerFooter>
    <oddFooter>&amp;R&amp;"Arial,Regular"&amp;9&amp;A</oddFooter>
  </headerFooter>
  <customProperties>
    <customPr name="_pios_id" r:id="rId2"/>
    <customPr name="EpmWorksheetKeyString_GUID" r:id="rId3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workbookViewId="0">
      <pane xSplit="2" ySplit="2" topLeftCell="E3" activePane="bottomRight" state="frozen"/>
      <selection pane="topRight" activeCell="C1" sqref="C1"/>
      <selection pane="bottomLeft" activeCell="A3" sqref="A3"/>
      <selection pane="bottomRight" activeCell="J3" sqref="J3"/>
    </sheetView>
  </sheetViews>
  <sheetFormatPr defaultColWidth="8.6640625" defaultRowHeight="14.4" x14ac:dyDescent="0.3"/>
  <cols>
    <col min="1" max="1" width="36.109375" style="252" customWidth="1"/>
    <col min="2" max="2" width="21.5546875" style="252" customWidth="1"/>
    <col min="3" max="3" width="16.109375" style="252" customWidth="1"/>
    <col min="4" max="4" width="14.5546875" style="252" customWidth="1"/>
    <col min="5" max="5" width="14" style="252" customWidth="1"/>
    <col min="6" max="6" width="24.109375" style="252" customWidth="1"/>
    <col min="7" max="7" width="23.5546875" style="252" customWidth="1"/>
    <col min="8" max="8" width="16.109375" style="252" customWidth="1"/>
    <col min="9" max="9" width="14.5546875" style="252" customWidth="1"/>
    <col min="10" max="10" width="16.109375" style="252" customWidth="1"/>
    <col min="11" max="11" width="14.5546875" style="252" bestFit="1" customWidth="1"/>
    <col min="12" max="12" width="17.5546875" style="252" bestFit="1" customWidth="1"/>
    <col min="13" max="16384" width="8.6640625" style="252"/>
  </cols>
  <sheetData>
    <row r="1" spans="1:10" ht="21.6" x14ac:dyDescent="0.3">
      <c r="A1" s="249" t="s">
        <v>367</v>
      </c>
      <c r="B1" s="249" t="s">
        <v>367</v>
      </c>
      <c r="C1" s="250" t="s">
        <v>416</v>
      </c>
      <c r="D1" s="250" t="s">
        <v>417</v>
      </c>
      <c r="E1" s="250" t="s">
        <v>917</v>
      </c>
      <c r="F1" s="250" t="s">
        <v>418</v>
      </c>
      <c r="G1" s="250" t="s">
        <v>419</v>
      </c>
      <c r="H1" s="251" t="s">
        <v>420</v>
      </c>
      <c r="I1" s="250" t="s">
        <v>918</v>
      </c>
      <c r="J1" s="250" t="s">
        <v>347</v>
      </c>
    </row>
    <row r="2" spans="1:10" x14ac:dyDescent="0.3">
      <c r="A2" s="249" t="s">
        <v>415</v>
      </c>
      <c r="B2" s="249" t="s">
        <v>367</v>
      </c>
      <c r="C2" s="253" t="s">
        <v>919</v>
      </c>
      <c r="D2" s="253" t="s">
        <v>919</v>
      </c>
      <c r="E2" s="253" t="s">
        <v>919</v>
      </c>
      <c r="F2" s="253" t="s">
        <v>919</v>
      </c>
      <c r="G2" s="253" t="s">
        <v>919</v>
      </c>
      <c r="H2" s="253" t="s">
        <v>919</v>
      </c>
      <c r="I2" s="253" t="s">
        <v>919</v>
      </c>
      <c r="J2" s="253" t="s">
        <v>919</v>
      </c>
    </row>
    <row r="3" spans="1:10" x14ac:dyDescent="0.3">
      <c r="A3" s="254" t="s">
        <v>421</v>
      </c>
      <c r="B3" s="255" t="s">
        <v>422</v>
      </c>
      <c r="C3" s="256">
        <v>-533889942.58999997</v>
      </c>
      <c r="D3" s="256">
        <v>-238437797.83000001</v>
      </c>
      <c r="E3" s="256">
        <v>479999654.31999999</v>
      </c>
      <c r="F3" s="256">
        <v>313454290.58999997</v>
      </c>
      <c r="G3" s="256">
        <v>166545363.72999999</v>
      </c>
      <c r="H3" s="256">
        <v>-220435652</v>
      </c>
      <c r="I3" s="256">
        <v>-71892434.099999994</v>
      </c>
      <c r="J3" s="257">
        <v>-292328086.10000002</v>
      </c>
    </row>
    <row r="4" spans="1:10" x14ac:dyDescent="0.3">
      <c r="A4" s="258" t="s">
        <v>423</v>
      </c>
      <c r="B4" s="259" t="s">
        <v>424</v>
      </c>
      <c r="C4" s="256">
        <v>-523557625.88</v>
      </c>
      <c r="D4" s="256">
        <v>-225854433.46000001</v>
      </c>
      <c r="E4" s="256">
        <v>287126090.92000002</v>
      </c>
      <c r="F4" s="256">
        <v>185791278.68000001</v>
      </c>
      <c r="G4" s="256">
        <v>101334812.23999999</v>
      </c>
      <c r="H4" s="256">
        <v>-337766347.19999999</v>
      </c>
      <c r="I4" s="256">
        <v>-124519621.22</v>
      </c>
      <c r="J4" s="257">
        <v>-462285968.42000002</v>
      </c>
    </row>
    <row r="5" spans="1:10" x14ac:dyDescent="0.3">
      <c r="A5" s="260" t="s">
        <v>425</v>
      </c>
      <c r="B5" s="261" t="s">
        <v>426</v>
      </c>
      <c r="C5" s="256">
        <v>-2516261884.1900001</v>
      </c>
      <c r="D5" s="256">
        <v>-875370692.41999996</v>
      </c>
      <c r="E5" s="256"/>
      <c r="F5" s="256"/>
      <c r="G5" s="256"/>
      <c r="H5" s="256">
        <v>-2516261884.1900001</v>
      </c>
      <c r="I5" s="256">
        <v>-875370692.41999996</v>
      </c>
      <c r="J5" s="257">
        <v>-3391632576.6100001</v>
      </c>
    </row>
    <row r="6" spans="1:10" x14ac:dyDescent="0.3">
      <c r="A6" s="262" t="s">
        <v>427</v>
      </c>
      <c r="B6" s="263" t="s">
        <v>428</v>
      </c>
      <c r="C6" s="256">
        <v>-2127052953.75</v>
      </c>
      <c r="D6" s="256">
        <v>-885869830.97000003</v>
      </c>
      <c r="E6" s="256"/>
      <c r="F6" s="256"/>
      <c r="G6" s="256"/>
      <c r="H6" s="256">
        <v>-2127052953.75</v>
      </c>
      <c r="I6" s="256">
        <v>-885869830.97000003</v>
      </c>
      <c r="J6" s="257">
        <v>-3012922784.7199998</v>
      </c>
    </row>
    <row r="7" spans="1:10" x14ac:dyDescent="0.3">
      <c r="A7" s="264" t="s">
        <v>429</v>
      </c>
      <c r="B7" s="265" t="s">
        <v>430</v>
      </c>
      <c r="C7" s="256">
        <v>-1139356243.2</v>
      </c>
      <c r="D7" s="256"/>
      <c r="E7" s="256"/>
      <c r="F7" s="256"/>
      <c r="G7" s="256"/>
      <c r="H7" s="256">
        <v>-1139356243.2</v>
      </c>
      <c r="I7" s="256"/>
      <c r="J7" s="257">
        <v>-1139356243.2</v>
      </c>
    </row>
    <row r="8" spans="1:10" x14ac:dyDescent="0.3">
      <c r="A8" s="264" t="s">
        <v>431</v>
      </c>
      <c r="B8" s="265" t="s">
        <v>432</v>
      </c>
      <c r="C8" s="256">
        <v>-969640041.50999999</v>
      </c>
      <c r="D8" s="256"/>
      <c r="E8" s="256"/>
      <c r="F8" s="256"/>
      <c r="G8" s="256"/>
      <c r="H8" s="256">
        <v>-969640041.50999999</v>
      </c>
      <c r="I8" s="256"/>
      <c r="J8" s="257">
        <v>-969640041.50999999</v>
      </c>
    </row>
    <row r="9" spans="1:10" x14ac:dyDescent="0.3">
      <c r="A9" s="264" t="s">
        <v>433</v>
      </c>
      <c r="B9" s="265" t="s">
        <v>434</v>
      </c>
      <c r="C9" s="256">
        <v>-18056669.039999999</v>
      </c>
      <c r="D9" s="256"/>
      <c r="E9" s="256"/>
      <c r="F9" s="256"/>
      <c r="G9" s="256"/>
      <c r="H9" s="256">
        <v>-18056669.039999999</v>
      </c>
      <c r="I9" s="256"/>
      <c r="J9" s="257">
        <v>-18056669.039999999</v>
      </c>
    </row>
    <row r="10" spans="1:10" x14ac:dyDescent="0.3">
      <c r="A10" s="264" t="s">
        <v>435</v>
      </c>
      <c r="B10" s="265" t="s">
        <v>436</v>
      </c>
      <c r="C10" s="256"/>
      <c r="D10" s="256">
        <v>-613618715.99000001</v>
      </c>
      <c r="E10" s="256"/>
      <c r="F10" s="256"/>
      <c r="G10" s="256"/>
      <c r="H10" s="256"/>
      <c r="I10" s="256">
        <v>-613618715.99000001</v>
      </c>
      <c r="J10" s="257">
        <v>-613618715.99000001</v>
      </c>
    </row>
    <row r="11" spans="1:10" x14ac:dyDescent="0.3">
      <c r="A11" s="264" t="s">
        <v>437</v>
      </c>
      <c r="B11" s="265" t="s">
        <v>438</v>
      </c>
      <c r="C11" s="256"/>
      <c r="D11" s="256">
        <v>-252380360.41</v>
      </c>
      <c r="E11" s="256"/>
      <c r="F11" s="256"/>
      <c r="G11" s="256"/>
      <c r="H11" s="256"/>
      <c r="I11" s="256">
        <v>-252380360.41</v>
      </c>
      <c r="J11" s="257">
        <v>-252380360.41</v>
      </c>
    </row>
    <row r="12" spans="1:10" x14ac:dyDescent="0.3">
      <c r="A12" s="264" t="s">
        <v>439</v>
      </c>
      <c r="B12" s="265" t="s">
        <v>440</v>
      </c>
      <c r="C12" s="256"/>
      <c r="D12" s="256">
        <v>-19870754.57</v>
      </c>
      <c r="E12" s="256"/>
      <c r="F12" s="256"/>
      <c r="G12" s="256"/>
      <c r="H12" s="256"/>
      <c r="I12" s="256">
        <v>-19870754.57</v>
      </c>
      <c r="J12" s="257">
        <v>-19870754.57</v>
      </c>
    </row>
    <row r="13" spans="1:10" x14ac:dyDescent="0.3">
      <c r="A13" s="262" t="s">
        <v>441</v>
      </c>
      <c r="B13" s="263" t="s">
        <v>442</v>
      </c>
      <c r="C13" s="256">
        <v>-351395.68</v>
      </c>
      <c r="D13" s="256"/>
      <c r="E13" s="256"/>
      <c r="F13" s="256"/>
      <c r="G13" s="256"/>
      <c r="H13" s="256">
        <v>-351395.68</v>
      </c>
      <c r="I13" s="256"/>
      <c r="J13" s="257">
        <v>-351395.68</v>
      </c>
    </row>
    <row r="14" spans="1:10" x14ac:dyDescent="0.3">
      <c r="A14" s="264" t="s">
        <v>443</v>
      </c>
      <c r="B14" s="265" t="s">
        <v>444</v>
      </c>
      <c r="C14" s="256">
        <v>-351395.68</v>
      </c>
      <c r="D14" s="256"/>
      <c r="E14" s="256"/>
      <c r="F14" s="256"/>
      <c r="G14" s="256"/>
      <c r="H14" s="256">
        <v>-351395.68</v>
      </c>
      <c r="I14" s="256"/>
      <c r="J14" s="257">
        <v>-351395.68</v>
      </c>
    </row>
    <row r="15" spans="1:10" x14ac:dyDescent="0.3">
      <c r="A15" s="262" t="s">
        <v>445</v>
      </c>
      <c r="B15" s="263" t="s">
        <v>446</v>
      </c>
      <c r="C15" s="256">
        <v>-196946670</v>
      </c>
      <c r="D15" s="256"/>
      <c r="E15" s="256"/>
      <c r="F15" s="256"/>
      <c r="G15" s="256"/>
      <c r="H15" s="256">
        <v>-196946670</v>
      </c>
      <c r="I15" s="256"/>
      <c r="J15" s="257">
        <v>-196946670</v>
      </c>
    </row>
    <row r="16" spans="1:10" x14ac:dyDescent="0.3">
      <c r="A16" s="264" t="s">
        <v>447</v>
      </c>
      <c r="B16" s="265" t="s">
        <v>448</v>
      </c>
      <c r="C16" s="256">
        <v>-109103898.91</v>
      </c>
      <c r="D16" s="256"/>
      <c r="E16" s="256"/>
      <c r="F16" s="256"/>
      <c r="G16" s="256"/>
      <c r="H16" s="256">
        <v>-109103898.91</v>
      </c>
      <c r="I16" s="256"/>
      <c r="J16" s="257">
        <v>-109103898.91</v>
      </c>
    </row>
    <row r="17" spans="1:10" x14ac:dyDescent="0.3">
      <c r="A17" s="264" t="s">
        <v>449</v>
      </c>
      <c r="B17" s="265" t="s">
        <v>450</v>
      </c>
      <c r="C17" s="256">
        <v>-87842771.090000004</v>
      </c>
      <c r="D17" s="256"/>
      <c r="E17" s="256"/>
      <c r="F17" s="256"/>
      <c r="G17" s="256"/>
      <c r="H17" s="256">
        <v>-87842771.090000004</v>
      </c>
      <c r="I17" s="256"/>
      <c r="J17" s="257">
        <v>-87842771.090000004</v>
      </c>
    </row>
    <row r="18" spans="1:10" x14ac:dyDescent="0.3">
      <c r="A18" s="262" t="s">
        <v>451</v>
      </c>
      <c r="B18" s="263" t="s">
        <v>452</v>
      </c>
      <c r="C18" s="256">
        <v>-191910864.75999999</v>
      </c>
      <c r="D18" s="256">
        <v>10499138.550000001</v>
      </c>
      <c r="E18" s="256"/>
      <c r="F18" s="256"/>
      <c r="G18" s="256"/>
      <c r="H18" s="256">
        <v>-191910864.75999999</v>
      </c>
      <c r="I18" s="256">
        <v>10499138.550000001</v>
      </c>
      <c r="J18" s="257">
        <v>-181411726.21000001</v>
      </c>
    </row>
    <row r="19" spans="1:10" x14ac:dyDescent="0.3">
      <c r="A19" s="264" t="s">
        <v>861</v>
      </c>
      <c r="B19" s="265" t="s">
        <v>928</v>
      </c>
      <c r="C19" s="256">
        <v>-14827618.74</v>
      </c>
      <c r="D19" s="256"/>
      <c r="E19" s="256"/>
      <c r="F19" s="256"/>
      <c r="G19" s="256"/>
      <c r="H19" s="256">
        <v>-14827618.74</v>
      </c>
      <c r="I19" s="256"/>
      <c r="J19" s="257">
        <v>-14827618.74</v>
      </c>
    </row>
    <row r="20" spans="1:10" x14ac:dyDescent="0.3">
      <c r="A20" s="264" t="s">
        <v>453</v>
      </c>
      <c r="B20" s="265" t="s">
        <v>454</v>
      </c>
      <c r="C20" s="256">
        <v>-2128525.79</v>
      </c>
      <c r="D20" s="256"/>
      <c r="E20" s="256"/>
      <c r="F20" s="256"/>
      <c r="G20" s="256"/>
      <c r="H20" s="256">
        <v>-2128525.79</v>
      </c>
      <c r="I20" s="256"/>
      <c r="J20" s="257">
        <v>-2128525.79</v>
      </c>
    </row>
    <row r="21" spans="1:10" x14ac:dyDescent="0.3">
      <c r="A21" s="264" t="s">
        <v>455</v>
      </c>
      <c r="B21" s="265" t="s">
        <v>456</v>
      </c>
      <c r="C21" s="256">
        <v>-11894207.08</v>
      </c>
      <c r="D21" s="256"/>
      <c r="E21" s="256"/>
      <c r="F21" s="256"/>
      <c r="G21" s="256"/>
      <c r="H21" s="256">
        <v>-11894207.08</v>
      </c>
      <c r="I21" s="256"/>
      <c r="J21" s="257">
        <v>-11894207.08</v>
      </c>
    </row>
    <row r="22" spans="1:10" x14ac:dyDescent="0.3">
      <c r="A22" s="264" t="s">
        <v>457</v>
      </c>
      <c r="B22" s="265" t="s">
        <v>458</v>
      </c>
      <c r="C22" s="256">
        <v>-17462762.780000001</v>
      </c>
      <c r="D22" s="256"/>
      <c r="E22" s="256"/>
      <c r="F22" s="256"/>
      <c r="G22" s="256"/>
      <c r="H22" s="256">
        <v>-17462762.780000001</v>
      </c>
      <c r="I22" s="256"/>
      <c r="J22" s="257">
        <v>-17462762.780000001</v>
      </c>
    </row>
    <row r="23" spans="1:10" x14ac:dyDescent="0.3">
      <c r="A23" s="264" t="s">
        <v>459</v>
      </c>
      <c r="B23" s="265" t="s">
        <v>460</v>
      </c>
      <c r="C23" s="256">
        <v>-28555566.43</v>
      </c>
      <c r="D23" s="256"/>
      <c r="E23" s="256"/>
      <c r="F23" s="256"/>
      <c r="G23" s="256"/>
      <c r="H23" s="256">
        <v>-28555566.43</v>
      </c>
      <c r="I23" s="256"/>
      <c r="J23" s="257">
        <v>-28555566.43</v>
      </c>
    </row>
    <row r="24" spans="1:10" x14ac:dyDescent="0.3">
      <c r="A24" s="264" t="s">
        <v>461</v>
      </c>
      <c r="B24" s="265" t="s">
        <v>462</v>
      </c>
      <c r="C24" s="256">
        <v>-117042183.94</v>
      </c>
      <c r="D24" s="256"/>
      <c r="E24" s="256"/>
      <c r="F24" s="256"/>
      <c r="G24" s="256"/>
      <c r="H24" s="256">
        <v>-117042183.94</v>
      </c>
      <c r="I24" s="256"/>
      <c r="J24" s="257">
        <v>-117042183.94</v>
      </c>
    </row>
    <row r="25" spans="1:10" x14ac:dyDescent="0.3">
      <c r="A25" s="264" t="s">
        <v>463</v>
      </c>
      <c r="B25" s="265" t="s">
        <v>464</v>
      </c>
      <c r="C25" s="256"/>
      <c r="D25" s="256">
        <v>-766929.76</v>
      </c>
      <c r="E25" s="256"/>
      <c r="F25" s="256"/>
      <c r="G25" s="256"/>
      <c r="H25" s="256"/>
      <c r="I25" s="256">
        <v>-766929.76</v>
      </c>
      <c r="J25" s="257">
        <v>-766929.76</v>
      </c>
    </row>
    <row r="26" spans="1:10" x14ac:dyDescent="0.3">
      <c r="A26" s="264" t="s">
        <v>465</v>
      </c>
      <c r="B26" s="265" t="s">
        <v>466</v>
      </c>
      <c r="C26" s="256"/>
      <c r="D26" s="256">
        <v>-3533375.12</v>
      </c>
      <c r="E26" s="256"/>
      <c r="F26" s="256"/>
      <c r="G26" s="256"/>
      <c r="H26" s="256"/>
      <c r="I26" s="256">
        <v>-3533375.12</v>
      </c>
      <c r="J26" s="257">
        <v>-3533375.12</v>
      </c>
    </row>
    <row r="27" spans="1:10" x14ac:dyDescent="0.3">
      <c r="A27" s="264" t="s">
        <v>467</v>
      </c>
      <c r="B27" s="265" t="s">
        <v>468</v>
      </c>
      <c r="C27" s="256"/>
      <c r="D27" s="256">
        <v>-1359584.25</v>
      </c>
      <c r="E27" s="256"/>
      <c r="F27" s="256"/>
      <c r="G27" s="256"/>
      <c r="H27" s="256"/>
      <c r="I27" s="256">
        <v>-1359584.25</v>
      </c>
      <c r="J27" s="257">
        <v>-1359584.25</v>
      </c>
    </row>
    <row r="28" spans="1:10" x14ac:dyDescent="0.3">
      <c r="A28" s="264" t="s">
        <v>469</v>
      </c>
      <c r="B28" s="265" t="s">
        <v>470</v>
      </c>
      <c r="C28" s="256"/>
      <c r="D28" s="256">
        <v>-5512529.3300000001</v>
      </c>
      <c r="E28" s="256"/>
      <c r="F28" s="256"/>
      <c r="G28" s="256"/>
      <c r="H28" s="256"/>
      <c r="I28" s="256">
        <v>-5512529.3300000001</v>
      </c>
      <c r="J28" s="257">
        <v>-5512529.3300000001</v>
      </c>
    </row>
    <row r="29" spans="1:10" x14ac:dyDescent="0.3">
      <c r="A29" s="264" t="s">
        <v>471</v>
      </c>
      <c r="B29" s="265" t="s">
        <v>472</v>
      </c>
      <c r="C29" s="256"/>
      <c r="D29" s="256">
        <v>26541288.91</v>
      </c>
      <c r="E29" s="256"/>
      <c r="F29" s="256"/>
      <c r="G29" s="256"/>
      <c r="H29" s="256"/>
      <c r="I29" s="256">
        <v>26541288.91</v>
      </c>
      <c r="J29" s="257">
        <v>26541288.91</v>
      </c>
    </row>
    <row r="30" spans="1:10" x14ac:dyDescent="0.3">
      <c r="A30" s="264" t="s">
        <v>862</v>
      </c>
      <c r="B30" s="265" t="s">
        <v>929</v>
      </c>
      <c r="C30" s="256"/>
      <c r="D30" s="256">
        <v>-4869731.9000000004</v>
      </c>
      <c r="E30" s="256"/>
      <c r="F30" s="256"/>
      <c r="G30" s="256"/>
      <c r="H30" s="256"/>
      <c r="I30" s="256">
        <v>-4869731.9000000004</v>
      </c>
      <c r="J30" s="257">
        <v>-4869731.9000000004</v>
      </c>
    </row>
    <row r="31" spans="1:10" x14ac:dyDescent="0.3">
      <c r="A31" s="260" t="s">
        <v>473</v>
      </c>
      <c r="B31" s="261" t="s">
        <v>426</v>
      </c>
      <c r="C31" s="256">
        <v>1992704258.3099999</v>
      </c>
      <c r="D31" s="256">
        <v>649516258.96000004</v>
      </c>
      <c r="E31" s="256">
        <v>287126090.92000002</v>
      </c>
      <c r="F31" s="256">
        <v>185791278.68000001</v>
      </c>
      <c r="G31" s="256">
        <v>101334812.23999999</v>
      </c>
      <c r="H31" s="256">
        <v>2178495536.9899998</v>
      </c>
      <c r="I31" s="256">
        <v>750851071.20000005</v>
      </c>
      <c r="J31" s="257">
        <v>2929346608.1900001</v>
      </c>
    </row>
    <row r="32" spans="1:10" x14ac:dyDescent="0.3">
      <c r="A32" s="262" t="s">
        <v>474</v>
      </c>
      <c r="B32" s="263" t="s">
        <v>475</v>
      </c>
      <c r="C32" s="256">
        <v>942436737.29999995</v>
      </c>
      <c r="D32" s="256">
        <v>290975876.38999999</v>
      </c>
      <c r="E32" s="256"/>
      <c r="F32" s="256"/>
      <c r="G32" s="256"/>
      <c r="H32" s="256">
        <v>942436737.29999995</v>
      </c>
      <c r="I32" s="256">
        <v>290975876.38999999</v>
      </c>
      <c r="J32" s="257">
        <v>1233412613.6900001</v>
      </c>
    </row>
    <row r="33" spans="1:10" x14ac:dyDescent="0.3">
      <c r="A33" s="266" t="s">
        <v>476</v>
      </c>
      <c r="B33" s="265" t="s">
        <v>477</v>
      </c>
      <c r="C33" s="256">
        <v>282863835.76999998</v>
      </c>
      <c r="D33" s="256"/>
      <c r="E33" s="256"/>
      <c r="F33" s="256"/>
      <c r="G33" s="256"/>
      <c r="H33" s="256">
        <v>282863835.76999998</v>
      </c>
      <c r="I33" s="256"/>
      <c r="J33" s="257">
        <v>282863835.76999998</v>
      </c>
    </row>
    <row r="34" spans="1:10" x14ac:dyDescent="0.3">
      <c r="A34" s="267" t="s">
        <v>478</v>
      </c>
      <c r="B34" s="265" t="s">
        <v>479</v>
      </c>
      <c r="C34" s="256">
        <v>94983742.980000004</v>
      </c>
      <c r="D34" s="256"/>
      <c r="E34" s="256"/>
      <c r="F34" s="256"/>
      <c r="G34" s="256"/>
      <c r="H34" s="256">
        <v>94983742.980000004</v>
      </c>
      <c r="I34" s="256"/>
      <c r="J34" s="257">
        <v>94983742.980000004</v>
      </c>
    </row>
    <row r="35" spans="1:10" x14ac:dyDescent="0.3">
      <c r="A35" s="267" t="s">
        <v>480</v>
      </c>
      <c r="B35" s="265" t="s">
        <v>481</v>
      </c>
      <c r="C35" s="256">
        <v>187880092.78999999</v>
      </c>
      <c r="D35" s="256"/>
      <c r="E35" s="256"/>
      <c r="F35" s="256"/>
      <c r="G35" s="256"/>
      <c r="H35" s="256">
        <v>187880092.78999999</v>
      </c>
      <c r="I35" s="256"/>
      <c r="J35" s="257">
        <v>187880092.78999999</v>
      </c>
    </row>
    <row r="36" spans="1:10" x14ac:dyDescent="0.3">
      <c r="A36" s="266" t="s">
        <v>482</v>
      </c>
      <c r="B36" s="265" t="s">
        <v>483</v>
      </c>
      <c r="C36" s="256">
        <v>617085015.53999996</v>
      </c>
      <c r="D36" s="256">
        <v>290975876.38999999</v>
      </c>
      <c r="E36" s="256"/>
      <c r="F36" s="256"/>
      <c r="G36" s="256"/>
      <c r="H36" s="256">
        <v>617085015.53999996</v>
      </c>
      <c r="I36" s="256">
        <v>290975876.38999999</v>
      </c>
      <c r="J36" s="257">
        <v>908060891.92999995</v>
      </c>
    </row>
    <row r="37" spans="1:10" x14ac:dyDescent="0.3">
      <c r="A37" s="267" t="s">
        <v>484</v>
      </c>
      <c r="B37" s="265" t="s">
        <v>485</v>
      </c>
      <c r="C37" s="256">
        <v>638473444.10000002</v>
      </c>
      <c r="D37" s="256"/>
      <c r="E37" s="256"/>
      <c r="F37" s="256"/>
      <c r="G37" s="256"/>
      <c r="H37" s="256">
        <v>638473444.10000002</v>
      </c>
      <c r="I37" s="256"/>
      <c r="J37" s="257">
        <v>638473444.10000002</v>
      </c>
    </row>
    <row r="38" spans="1:10" x14ac:dyDescent="0.3">
      <c r="A38" s="267" t="s">
        <v>486</v>
      </c>
      <c r="B38" s="265" t="s">
        <v>487</v>
      </c>
      <c r="C38" s="256">
        <v>-21388428.559999999</v>
      </c>
      <c r="D38" s="256"/>
      <c r="E38" s="256"/>
      <c r="F38" s="256"/>
      <c r="G38" s="256"/>
      <c r="H38" s="256">
        <v>-21388428.559999999</v>
      </c>
      <c r="I38" s="256"/>
      <c r="J38" s="257">
        <v>-21388428.559999999</v>
      </c>
    </row>
    <row r="39" spans="1:10" x14ac:dyDescent="0.3">
      <c r="A39" s="267" t="s">
        <v>488</v>
      </c>
      <c r="B39" s="265" t="s">
        <v>489</v>
      </c>
      <c r="C39" s="256"/>
      <c r="D39" s="256">
        <v>410534333.37</v>
      </c>
      <c r="E39" s="256"/>
      <c r="F39" s="256"/>
      <c r="G39" s="256"/>
      <c r="H39" s="256"/>
      <c r="I39" s="256">
        <v>410534333.37</v>
      </c>
      <c r="J39" s="257">
        <v>410534333.37</v>
      </c>
    </row>
    <row r="40" spans="1:10" x14ac:dyDescent="0.3">
      <c r="A40" s="267" t="s">
        <v>490</v>
      </c>
      <c r="B40" s="265" t="s">
        <v>491</v>
      </c>
      <c r="C40" s="256"/>
      <c r="D40" s="256">
        <v>201134</v>
      </c>
      <c r="E40" s="256"/>
      <c r="F40" s="256"/>
      <c r="G40" s="256"/>
      <c r="H40" s="256"/>
      <c r="I40" s="256">
        <v>201134</v>
      </c>
      <c r="J40" s="257">
        <v>201134</v>
      </c>
    </row>
    <row r="41" spans="1:10" x14ac:dyDescent="0.3">
      <c r="A41" s="267" t="s">
        <v>492</v>
      </c>
      <c r="B41" s="265" t="s">
        <v>493</v>
      </c>
      <c r="C41" s="256"/>
      <c r="D41" s="256">
        <v>-116662915.34</v>
      </c>
      <c r="E41" s="256"/>
      <c r="F41" s="256"/>
      <c r="G41" s="256"/>
      <c r="H41" s="256"/>
      <c r="I41" s="256">
        <v>-116662915.34</v>
      </c>
      <c r="J41" s="257">
        <v>-116662915.34</v>
      </c>
    </row>
    <row r="42" spans="1:10" x14ac:dyDescent="0.3">
      <c r="A42" s="267" t="s">
        <v>494</v>
      </c>
      <c r="B42" s="265" t="s">
        <v>495</v>
      </c>
      <c r="C42" s="256"/>
      <c r="D42" s="256">
        <v>53339090.640000001</v>
      </c>
      <c r="E42" s="256"/>
      <c r="F42" s="256"/>
      <c r="G42" s="256"/>
      <c r="H42" s="256"/>
      <c r="I42" s="256">
        <v>53339090.640000001</v>
      </c>
      <c r="J42" s="257">
        <v>53339090.640000001</v>
      </c>
    </row>
    <row r="43" spans="1:10" x14ac:dyDescent="0.3">
      <c r="A43" s="267" t="s">
        <v>496</v>
      </c>
      <c r="B43" s="265" t="s">
        <v>497</v>
      </c>
      <c r="C43" s="256"/>
      <c r="D43" s="256">
        <v>-56435766.280000001</v>
      </c>
      <c r="E43" s="256"/>
      <c r="F43" s="256"/>
      <c r="G43" s="256"/>
      <c r="H43" s="256"/>
      <c r="I43" s="256">
        <v>-56435766.280000001</v>
      </c>
      <c r="J43" s="257">
        <v>-56435766.280000001</v>
      </c>
    </row>
    <row r="44" spans="1:10" x14ac:dyDescent="0.3">
      <c r="A44" s="266" t="s">
        <v>498</v>
      </c>
      <c r="B44" s="265" t="s">
        <v>499</v>
      </c>
      <c r="C44" s="256">
        <v>121674523.33</v>
      </c>
      <c r="D44" s="256"/>
      <c r="E44" s="256"/>
      <c r="F44" s="256"/>
      <c r="G44" s="256"/>
      <c r="H44" s="256">
        <v>121674523.33</v>
      </c>
      <c r="I44" s="256"/>
      <c r="J44" s="257">
        <v>121674523.33</v>
      </c>
    </row>
    <row r="45" spans="1:10" x14ac:dyDescent="0.3">
      <c r="A45" s="267" t="s">
        <v>500</v>
      </c>
      <c r="B45" s="265" t="s">
        <v>501</v>
      </c>
      <c r="C45" s="256">
        <v>121674523.33</v>
      </c>
      <c r="D45" s="256"/>
      <c r="E45" s="256"/>
      <c r="F45" s="256"/>
      <c r="G45" s="256"/>
      <c r="H45" s="256">
        <v>121674523.33</v>
      </c>
      <c r="I45" s="256"/>
      <c r="J45" s="257">
        <v>121674523.33</v>
      </c>
    </row>
    <row r="46" spans="1:10" x14ac:dyDescent="0.3">
      <c r="A46" s="266" t="s">
        <v>502</v>
      </c>
      <c r="B46" s="265" t="s">
        <v>503</v>
      </c>
      <c r="C46" s="256">
        <v>-79186637.340000004</v>
      </c>
      <c r="D46" s="256"/>
      <c r="E46" s="256"/>
      <c r="F46" s="256"/>
      <c r="G46" s="256"/>
      <c r="H46" s="256">
        <v>-79186637.340000004</v>
      </c>
      <c r="I46" s="256"/>
      <c r="J46" s="257">
        <v>-79186637.340000004</v>
      </c>
    </row>
    <row r="47" spans="1:10" x14ac:dyDescent="0.3">
      <c r="A47" s="267" t="s">
        <v>504</v>
      </c>
      <c r="B47" s="265" t="s">
        <v>505</v>
      </c>
      <c r="C47" s="256">
        <v>-79186637.340000004</v>
      </c>
      <c r="D47" s="256"/>
      <c r="E47" s="256"/>
      <c r="F47" s="256"/>
      <c r="G47" s="256"/>
      <c r="H47" s="256">
        <v>-79186637.340000004</v>
      </c>
      <c r="I47" s="256"/>
      <c r="J47" s="257">
        <v>-79186637.340000004</v>
      </c>
    </row>
    <row r="48" spans="1:10" x14ac:dyDescent="0.3">
      <c r="A48" s="262" t="s">
        <v>506</v>
      </c>
      <c r="B48" s="263" t="s">
        <v>507</v>
      </c>
      <c r="C48" s="256">
        <v>402914947.85000002</v>
      </c>
      <c r="D48" s="256">
        <v>110655312.37</v>
      </c>
      <c r="E48" s="256">
        <v>172686367.75</v>
      </c>
      <c r="F48" s="256">
        <v>110157994.23999999</v>
      </c>
      <c r="G48" s="256">
        <v>62528373.509999998</v>
      </c>
      <c r="H48" s="256">
        <v>513072942.08999997</v>
      </c>
      <c r="I48" s="256">
        <v>173183685.88</v>
      </c>
      <c r="J48" s="257">
        <v>686256627.97000003</v>
      </c>
    </row>
    <row r="49" spans="1:10" x14ac:dyDescent="0.3">
      <c r="A49" s="266" t="s">
        <v>508</v>
      </c>
      <c r="B49" s="265" t="s">
        <v>509</v>
      </c>
      <c r="C49" s="256">
        <v>124385512.13</v>
      </c>
      <c r="D49" s="256">
        <v>6350033.2800000003</v>
      </c>
      <c r="E49" s="256"/>
      <c r="F49" s="256"/>
      <c r="G49" s="256"/>
      <c r="H49" s="256">
        <v>124385512.13</v>
      </c>
      <c r="I49" s="256">
        <v>6350033.2800000003</v>
      </c>
      <c r="J49" s="257">
        <v>130735545.41</v>
      </c>
    </row>
    <row r="50" spans="1:10" x14ac:dyDescent="0.3">
      <c r="A50" s="267" t="s">
        <v>510</v>
      </c>
      <c r="B50" s="265" t="s">
        <v>511</v>
      </c>
      <c r="C50" s="256">
        <v>1345910.98</v>
      </c>
      <c r="D50" s="256"/>
      <c r="E50" s="256"/>
      <c r="F50" s="256"/>
      <c r="G50" s="256"/>
      <c r="H50" s="256">
        <v>1345910.98</v>
      </c>
      <c r="I50" s="256"/>
      <c r="J50" s="257">
        <v>1345910.98</v>
      </c>
    </row>
    <row r="51" spans="1:10" x14ac:dyDescent="0.3">
      <c r="A51" s="267" t="s">
        <v>512</v>
      </c>
      <c r="B51" s="265" t="s">
        <v>513</v>
      </c>
      <c r="C51" s="256">
        <v>10513412.32</v>
      </c>
      <c r="D51" s="256"/>
      <c r="E51" s="256"/>
      <c r="F51" s="256"/>
      <c r="G51" s="256"/>
      <c r="H51" s="256">
        <v>10513412.32</v>
      </c>
      <c r="I51" s="256"/>
      <c r="J51" s="257">
        <v>10513412.32</v>
      </c>
    </row>
    <row r="52" spans="1:10" x14ac:dyDescent="0.3">
      <c r="A52" s="267" t="s">
        <v>514</v>
      </c>
      <c r="B52" s="265" t="s">
        <v>515</v>
      </c>
      <c r="C52" s="256">
        <v>1806882.05</v>
      </c>
      <c r="D52" s="256"/>
      <c r="E52" s="256"/>
      <c r="F52" s="256"/>
      <c r="G52" s="256"/>
      <c r="H52" s="256">
        <v>1806882.05</v>
      </c>
      <c r="I52" s="256"/>
      <c r="J52" s="257">
        <v>1806882.05</v>
      </c>
    </row>
    <row r="53" spans="1:10" x14ac:dyDescent="0.3">
      <c r="A53" s="267" t="s">
        <v>516</v>
      </c>
      <c r="B53" s="265" t="s">
        <v>517</v>
      </c>
      <c r="C53" s="256">
        <v>10493095.970000001</v>
      </c>
      <c r="D53" s="256"/>
      <c r="E53" s="256"/>
      <c r="F53" s="256"/>
      <c r="G53" s="256"/>
      <c r="H53" s="256">
        <v>10493095.970000001</v>
      </c>
      <c r="I53" s="256"/>
      <c r="J53" s="257">
        <v>10493095.970000001</v>
      </c>
    </row>
    <row r="54" spans="1:10" x14ac:dyDescent="0.3">
      <c r="A54" s="267" t="s">
        <v>518</v>
      </c>
      <c r="B54" s="265" t="s">
        <v>519</v>
      </c>
      <c r="C54" s="256">
        <v>24197.72</v>
      </c>
      <c r="D54" s="256"/>
      <c r="E54" s="256"/>
      <c r="F54" s="256"/>
      <c r="G54" s="256"/>
      <c r="H54" s="256">
        <v>24197.72</v>
      </c>
      <c r="I54" s="256"/>
      <c r="J54" s="257">
        <v>24197.72</v>
      </c>
    </row>
    <row r="55" spans="1:10" x14ac:dyDescent="0.3">
      <c r="A55" s="267" t="s">
        <v>520</v>
      </c>
      <c r="B55" s="265" t="s">
        <v>521</v>
      </c>
      <c r="C55" s="256">
        <v>1868540.64</v>
      </c>
      <c r="D55" s="256"/>
      <c r="E55" s="256"/>
      <c r="F55" s="256"/>
      <c r="G55" s="256"/>
      <c r="H55" s="256">
        <v>1868540.64</v>
      </c>
      <c r="I55" s="256"/>
      <c r="J55" s="257">
        <v>1868540.64</v>
      </c>
    </row>
    <row r="56" spans="1:10" x14ac:dyDescent="0.3">
      <c r="A56" s="267" t="s">
        <v>522</v>
      </c>
      <c r="B56" s="265" t="s">
        <v>523</v>
      </c>
      <c r="C56" s="256">
        <v>1957038.05</v>
      </c>
      <c r="D56" s="256"/>
      <c r="E56" s="256"/>
      <c r="F56" s="256"/>
      <c r="G56" s="256"/>
      <c r="H56" s="256">
        <v>1957038.05</v>
      </c>
      <c r="I56" s="256"/>
      <c r="J56" s="257">
        <v>1957038.05</v>
      </c>
    </row>
    <row r="57" spans="1:10" x14ac:dyDescent="0.3">
      <c r="A57" s="267" t="s">
        <v>524</v>
      </c>
      <c r="B57" s="265" t="s">
        <v>525</v>
      </c>
      <c r="C57" s="256">
        <v>14045707.859999999</v>
      </c>
      <c r="D57" s="256"/>
      <c r="E57" s="256"/>
      <c r="F57" s="256"/>
      <c r="G57" s="256"/>
      <c r="H57" s="256">
        <v>14045707.859999999</v>
      </c>
      <c r="I57" s="256"/>
      <c r="J57" s="257">
        <v>14045707.859999999</v>
      </c>
    </row>
    <row r="58" spans="1:10" x14ac:dyDescent="0.3">
      <c r="A58" s="267" t="s">
        <v>526</v>
      </c>
      <c r="B58" s="265" t="s">
        <v>527</v>
      </c>
      <c r="C58" s="256">
        <v>7058868.54</v>
      </c>
      <c r="D58" s="256"/>
      <c r="E58" s="256"/>
      <c r="F58" s="256"/>
      <c r="G58" s="256"/>
      <c r="H58" s="256">
        <v>7058868.54</v>
      </c>
      <c r="I58" s="256"/>
      <c r="J58" s="257">
        <v>7058868.54</v>
      </c>
    </row>
    <row r="59" spans="1:10" x14ac:dyDescent="0.3">
      <c r="A59" s="267" t="s">
        <v>528</v>
      </c>
      <c r="B59" s="265" t="s">
        <v>529</v>
      </c>
      <c r="C59" s="256">
        <v>3353819.45</v>
      </c>
      <c r="D59" s="256"/>
      <c r="E59" s="256"/>
      <c r="F59" s="256"/>
      <c r="G59" s="256"/>
      <c r="H59" s="256">
        <v>3353819.45</v>
      </c>
      <c r="I59" s="256"/>
      <c r="J59" s="257">
        <v>3353819.45</v>
      </c>
    </row>
    <row r="60" spans="1:10" x14ac:dyDescent="0.3">
      <c r="A60" s="267" t="s">
        <v>530</v>
      </c>
      <c r="B60" s="265" t="s">
        <v>531</v>
      </c>
      <c r="C60" s="256">
        <v>2032966.76</v>
      </c>
      <c r="D60" s="256"/>
      <c r="E60" s="256"/>
      <c r="F60" s="256"/>
      <c r="G60" s="256"/>
      <c r="H60" s="256">
        <v>2032966.76</v>
      </c>
      <c r="I60" s="256"/>
      <c r="J60" s="257">
        <v>2032966.76</v>
      </c>
    </row>
    <row r="61" spans="1:10" x14ac:dyDescent="0.3">
      <c r="A61" s="267" t="s">
        <v>532</v>
      </c>
      <c r="B61" s="265" t="s">
        <v>533</v>
      </c>
      <c r="C61" s="256">
        <v>3392829.3</v>
      </c>
      <c r="D61" s="256"/>
      <c r="E61" s="256"/>
      <c r="F61" s="256"/>
      <c r="G61" s="256"/>
      <c r="H61" s="256">
        <v>3392829.3</v>
      </c>
      <c r="I61" s="256"/>
      <c r="J61" s="257">
        <v>3392829.3</v>
      </c>
    </row>
    <row r="62" spans="1:10" x14ac:dyDescent="0.3">
      <c r="A62" s="267" t="s">
        <v>534</v>
      </c>
      <c r="B62" s="265" t="s">
        <v>535</v>
      </c>
      <c r="C62" s="256">
        <v>250971.06</v>
      </c>
      <c r="D62" s="256"/>
      <c r="E62" s="256"/>
      <c r="F62" s="256"/>
      <c r="G62" s="256"/>
      <c r="H62" s="256">
        <v>250971.06</v>
      </c>
      <c r="I62" s="256"/>
      <c r="J62" s="257">
        <v>250971.06</v>
      </c>
    </row>
    <row r="63" spans="1:10" x14ac:dyDescent="0.3">
      <c r="A63" s="267" t="s">
        <v>536</v>
      </c>
      <c r="B63" s="265" t="s">
        <v>537</v>
      </c>
      <c r="C63" s="256">
        <v>1823961.26</v>
      </c>
      <c r="D63" s="256"/>
      <c r="E63" s="256"/>
      <c r="F63" s="256"/>
      <c r="G63" s="256"/>
      <c r="H63" s="256">
        <v>1823961.26</v>
      </c>
      <c r="I63" s="256"/>
      <c r="J63" s="257">
        <v>1823961.26</v>
      </c>
    </row>
    <row r="64" spans="1:10" x14ac:dyDescent="0.3">
      <c r="A64" s="267" t="s">
        <v>538</v>
      </c>
      <c r="B64" s="265" t="s">
        <v>539</v>
      </c>
      <c r="C64" s="256">
        <v>190186.16</v>
      </c>
      <c r="D64" s="256"/>
      <c r="E64" s="256"/>
      <c r="F64" s="256"/>
      <c r="G64" s="256"/>
      <c r="H64" s="256">
        <v>190186.16</v>
      </c>
      <c r="I64" s="256"/>
      <c r="J64" s="257">
        <v>190186.16</v>
      </c>
    </row>
    <row r="65" spans="1:10" x14ac:dyDescent="0.3">
      <c r="A65" s="267" t="s">
        <v>540</v>
      </c>
      <c r="B65" s="265" t="s">
        <v>541</v>
      </c>
      <c r="C65" s="256">
        <v>351292.51</v>
      </c>
      <c r="D65" s="256"/>
      <c r="E65" s="256"/>
      <c r="F65" s="256"/>
      <c r="G65" s="256"/>
      <c r="H65" s="256">
        <v>351292.51</v>
      </c>
      <c r="I65" s="256"/>
      <c r="J65" s="257">
        <v>351292.51</v>
      </c>
    </row>
    <row r="66" spans="1:10" x14ac:dyDescent="0.3">
      <c r="A66" s="267" t="s">
        <v>542</v>
      </c>
      <c r="B66" s="265" t="s">
        <v>543</v>
      </c>
      <c r="C66" s="256">
        <v>419922.19</v>
      </c>
      <c r="D66" s="256"/>
      <c r="E66" s="256"/>
      <c r="F66" s="256"/>
      <c r="G66" s="256"/>
      <c r="H66" s="256">
        <v>419922.19</v>
      </c>
      <c r="I66" s="256"/>
      <c r="J66" s="257">
        <v>419922.19</v>
      </c>
    </row>
    <row r="67" spans="1:10" x14ac:dyDescent="0.3">
      <c r="A67" s="267" t="s">
        <v>544</v>
      </c>
      <c r="B67" s="265" t="s">
        <v>545</v>
      </c>
      <c r="C67" s="256">
        <v>1107382.6000000001</v>
      </c>
      <c r="D67" s="256"/>
      <c r="E67" s="256"/>
      <c r="F67" s="256"/>
      <c r="G67" s="256"/>
      <c r="H67" s="256">
        <v>1107382.6000000001</v>
      </c>
      <c r="I67" s="256"/>
      <c r="J67" s="257">
        <v>1107382.6000000001</v>
      </c>
    </row>
    <row r="68" spans="1:10" x14ac:dyDescent="0.3">
      <c r="A68" s="267" t="s">
        <v>546</v>
      </c>
      <c r="B68" s="265" t="s">
        <v>547</v>
      </c>
      <c r="C68" s="256">
        <v>3485636.99</v>
      </c>
      <c r="D68" s="256"/>
      <c r="E68" s="256"/>
      <c r="F68" s="256"/>
      <c r="G68" s="256"/>
      <c r="H68" s="256">
        <v>3485636.99</v>
      </c>
      <c r="I68" s="256"/>
      <c r="J68" s="257">
        <v>3485636.99</v>
      </c>
    </row>
    <row r="69" spans="1:10" x14ac:dyDescent="0.3">
      <c r="A69" s="267" t="s">
        <v>548</v>
      </c>
      <c r="B69" s="265" t="s">
        <v>549</v>
      </c>
      <c r="C69" s="256">
        <v>4270611.3499999996</v>
      </c>
      <c r="D69" s="256"/>
      <c r="E69" s="256"/>
      <c r="F69" s="256"/>
      <c r="G69" s="256"/>
      <c r="H69" s="256">
        <v>4270611.3499999996</v>
      </c>
      <c r="I69" s="256"/>
      <c r="J69" s="257">
        <v>4270611.3499999996</v>
      </c>
    </row>
    <row r="70" spans="1:10" x14ac:dyDescent="0.3">
      <c r="A70" s="267" t="s">
        <v>550</v>
      </c>
      <c r="B70" s="265" t="s">
        <v>551</v>
      </c>
      <c r="C70" s="256">
        <v>12036694.109999999</v>
      </c>
      <c r="D70" s="256"/>
      <c r="E70" s="256"/>
      <c r="F70" s="256"/>
      <c r="G70" s="256"/>
      <c r="H70" s="256">
        <v>12036694.109999999</v>
      </c>
      <c r="I70" s="256"/>
      <c r="J70" s="257">
        <v>12036694.109999999</v>
      </c>
    </row>
    <row r="71" spans="1:10" x14ac:dyDescent="0.3">
      <c r="A71" s="267" t="s">
        <v>552</v>
      </c>
      <c r="B71" s="265" t="s">
        <v>553</v>
      </c>
      <c r="C71" s="256">
        <v>4023936.27</v>
      </c>
      <c r="D71" s="256"/>
      <c r="E71" s="256"/>
      <c r="F71" s="256"/>
      <c r="G71" s="256"/>
      <c r="H71" s="256">
        <v>4023936.27</v>
      </c>
      <c r="I71" s="256"/>
      <c r="J71" s="257">
        <v>4023936.27</v>
      </c>
    </row>
    <row r="72" spans="1:10" x14ac:dyDescent="0.3">
      <c r="A72" s="267" t="s">
        <v>554</v>
      </c>
      <c r="B72" s="265" t="s">
        <v>555</v>
      </c>
      <c r="C72" s="256">
        <v>6167237.9900000002</v>
      </c>
      <c r="D72" s="256"/>
      <c r="E72" s="256"/>
      <c r="F72" s="256"/>
      <c r="G72" s="256"/>
      <c r="H72" s="256">
        <v>6167237.9900000002</v>
      </c>
      <c r="I72" s="256"/>
      <c r="J72" s="257">
        <v>6167237.9900000002</v>
      </c>
    </row>
    <row r="73" spans="1:10" x14ac:dyDescent="0.3">
      <c r="A73" s="267" t="s">
        <v>556</v>
      </c>
      <c r="B73" s="265" t="s">
        <v>557</v>
      </c>
      <c r="C73" s="256">
        <v>516853.11</v>
      </c>
      <c r="D73" s="256"/>
      <c r="E73" s="256"/>
      <c r="F73" s="256"/>
      <c r="G73" s="256"/>
      <c r="H73" s="256">
        <v>516853.11</v>
      </c>
      <c r="I73" s="256"/>
      <c r="J73" s="257">
        <v>516853.11</v>
      </c>
    </row>
    <row r="74" spans="1:10" x14ac:dyDescent="0.3">
      <c r="A74" s="267" t="s">
        <v>558</v>
      </c>
      <c r="B74" s="265" t="s">
        <v>559</v>
      </c>
      <c r="C74" s="256">
        <v>978519.16</v>
      </c>
      <c r="D74" s="256"/>
      <c r="E74" s="256"/>
      <c r="F74" s="256"/>
      <c r="G74" s="256"/>
      <c r="H74" s="256">
        <v>978519.16</v>
      </c>
      <c r="I74" s="256"/>
      <c r="J74" s="257">
        <v>978519.16</v>
      </c>
    </row>
    <row r="75" spans="1:10" x14ac:dyDescent="0.3">
      <c r="A75" s="267" t="s">
        <v>560</v>
      </c>
      <c r="B75" s="265" t="s">
        <v>561</v>
      </c>
      <c r="C75" s="256">
        <v>30074645.640000001</v>
      </c>
      <c r="D75" s="256"/>
      <c r="E75" s="256"/>
      <c r="F75" s="256"/>
      <c r="G75" s="256"/>
      <c r="H75" s="256">
        <v>30074645.640000001</v>
      </c>
      <c r="I75" s="256"/>
      <c r="J75" s="257">
        <v>30074645.640000001</v>
      </c>
    </row>
    <row r="76" spans="1:10" x14ac:dyDescent="0.3">
      <c r="A76" s="267" t="s">
        <v>562</v>
      </c>
      <c r="B76" s="265" t="s">
        <v>563</v>
      </c>
      <c r="C76" s="256">
        <v>670988.14</v>
      </c>
      <c r="D76" s="256"/>
      <c r="E76" s="256"/>
      <c r="F76" s="256"/>
      <c r="G76" s="256"/>
      <c r="H76" s="256">
        <v>670988.14</v>
      </c>
      <c r="I76" s="256"/>
      <c r="J76" s="257">
        <v>670988.14</v>
      </c>
    </row>
    <row r="77" spans="1:10" x14ac:dyDescent="0.3">
      <c r="A77" s="267" t="s">
        <v>564</v>
      </c>
      <c r="B77" s="265" t="s">
        <v>565</v>
      </c>
      <c r="C77" s="256">
        <v>123403.95</v>
      </c>
      <c r="D77" s="256"/>
      <c r="E77" s="256"/>
      <c r="F77" s="256"/>
      <c r="G77" s="256"/>
      <c r="H77" s="256">
        <v>123403.95</v>
      </c>
      <c r="I77" s="256"/>
      <c r="J77" s="257">
        <v>123403.95</v>
      </c>
    </row>
    <row r="78" spans="1:10" x14ac:dyDescent="0.3">
      <c r="A78" s="267" t="s">
        <v>566</v>
      </c>
      <c r="B78" s="265" t="s">
        <v>567</v>
      </c>
      <c r="C78" s="256"/>
      <c r="D78" s="256">
        <v>102117.18</v>
      </c>
      <c r="E78" s="256"/>
      <c r="F78" s="256"/>
      <c r="G78" s="256"/>
      <c r="H78" s="256"/>
      <c r="I78" s="256">
        <v>102117.18</v>
      </c>
      <c r="J78" s="257">
        <v>102117.18</v>
      </c>
    </row>
    <row r="79" spans="1:10" x14ac:dyDescent="0.3">
      <c r="A79" s="267" t="s">
        <v>922</v>
      </c>
      <c r="B79" s="265" t="s">
        <v>930</v>
      </c>
      <c r="C79" s="256"/>
      <c r="D79" s="256">
        <v>55.6</v>
      </c>
      <c r="E79" s="256"/>
      <c r="F79" s="256"/>
      <c r="G79" s="256"/>
      <c r="H79" s="256"/>
      <c r="I79" s="256">
        <v>55.6</v>
      </c>
      <c r="J79" s="257">
        <v>55.6</v>
      </c>
    </row>
    <row r="80" spans="1:10" x14ac:dyDescent="0.3">
      <c r="A80" s="267" t="s">
        <v>568</v>
      </c>
      <c r="B80" s="265" t="s">
        <v>569</v>
      </c>
      <c r="C80" s="256"/>
      <c r="D80" s="256">
        <v>2158045.04</v>
      </c>
      <c r="E80" s="256"/>
      <c r="F80" s="256"/>
      <c r="G80" s="256"/>
      <c r="H80" s="256"/>
      <c r="I80" s="256">
        <v>2158045.04</v>
      </c>
      <c r="J80" s="257">
        <v>2158045.04</v>
      </c>
    </row>
    <row r="81" spans="1:10" x14ac:dyDescent="0.3">
      <c r="A81" s="267" t="s">
        <v>570</v>
      </c>
      <c r="B81" s="265" t="s">
        <v>571</v>
      </c>
      <c r="C81" s="256"/>
      <c r="D81" s="256">
        <v>-33051.040000000001</v>
      </c>
      <c r="E81" s="256"/>
      <c r="F81" s="256"/>
      <c r="G81" s="256"/>
      <c r="H81" s="256"/>
      <c r="I81" s="256">
        <v>-33051.040000000001</v>
      </c>
      <c r="J81" s="257">
        <v>-33051.040000000001</v>
      </c>
    </row>
    <row r="82" spans="1:10" x14ac:dyDescent="0.3">
      <c r="A82" s="267" t="s">
        <v>572</v>
      </c>
      <c r="B82" s="265" t="s">
        <v>573</v>
      </c>
      <c r="C82" s="256"/>
      <c r="D82" s="256">
        <v>535182.17000000004</v>
      </c>
      <c r="E82" s="256"/>
      <c r="F82" s="256"/>
      <c r="G82" s="256"/>
      <c r="H82" s="256"/>
      <c r="I82" s="256">
        <v>535182.17000000004</v>
      </c>
      <c r="J82" s="257">
        <v>535182.17000000004</v>
      </c>
    </row>
    <row r="83" spans="1:10" x14ac:dyDescent="0.3">
      <c r="A83" s="267" t="s">
        <v>574</v>
      </c>
      <c r="B83" s="265" t="s">
        <v>575</v>
      </c>
      <c r="C83" s="256"/>
      <c r="D83" s="256">
        <v>168735.38</v>
      </c>
      <c r="E83" s="256"/>
      <c r="F83" s="256"/>
      <c r="G83" s="256"/>
      <c r="H83" s="256"/>
      <c r="I83" s="256">
        <v>168735.38</v>
      </c>
      <c r="J83" s="257">
        <v>168735.38</v>
      </c>
    </row>
    <row r="84" spans="1:10" x14ac:dyDescent="0.3">
      <c r="A84" s="267" t="s">
        <v>576</v>
      </c>
      <c r="B84" s="265" t="s">
        <v>577</v>
      </c>
      <c r="C84" s="256"/>
      <c r="D84" s="256">
        <v>17242.57</v>
      </c>
      <c r="E84" s="256"/>
      <c r="F84" s="256"/>
      <c r="G84" s="256"/>
      <c r="H84" s="256"/>
      <c r="I84" s="256">
        <v>17242.57</v>
      </c>
      <c r="J84" s="257">
        <v>17242.57</v>
      </c>
    </row>
    <row r="85" spans="1:10" x14ac:dyDescent="0.3">
      <c r="A85" s="267" t="s">
        <v>578</v>
      </c>
      <c r="B85" s="265" t="s">
        <v>579</v>
      </c>
      <c r="C85" s="256"/>
      <c r="D85" s="256">
        <v>40781.67</v>
      </c>
      <c r="E85" s="256"/>
      <c r="F85" s="256"/>
      <c r="G85" s="256"/>
      <c r="H85" s="256"/>
      <c r="I85" s="256">
        <v>40781.67</v>
      </c>
      <c r="J85" s="257">
        <v>40781.67</v>
      </c>
    </row>
    <row r="86" spans="1:10" x14ac:dyDescent="0.3">
      <c r="A86" s="267" t="s">
        <v>580</v>
      </c>
      <c r="B86" s="265" t="s">
        <v>581</v>
      </c>
      <c r="C86" s="256"/>
      <c r="D86" s="256">
        <v>274848.63</v>
      </c>
      <c r="E86" s="256"/>
      <c r="F86" s="256"/>
      <c r="G86" s="256"/>
      <c r="H86" s="256"/>
      <c r="I86" s="256">
        <v>274848.63</v>
      </c>
      <c r="J86" s="257">
        <v>274848.63</v>
      </c>
    </row>
    <row r="87" spans="1:10" x14ac:dyDescent="0.3">
      <c r="A87" s="267" t="s">
        <v>582</v>
      </c>
      <c r="B87" s="265" t="s">
        <v>583</v>
      </c>
      <c r="C87" s="256"/>
      <c r="D87" s="256">
        <v>34323.46</v>
      </c>
      <c r="E87" s="256"/>
      <c r="F87" s="256"/>
      <c r="G87" s="256"/>
      <c r="H87" s="256"/>
      <c r="I87" s="256">
        <v>34323.46</v>
      </c>
      <c r="J87" s="257">
        <v>34323.46</v>
      </c>
    </row>
    <row r="88" spans="1:10" x14ac:dyDescent="0.3">
      <c r="A88" s="267" t="s">
        <v>584</v>
      </c>
      <c r="B88" s="265" t="s">
        <v>585</v>
      </c>
      <c r="C88" s="256"/>
      <c r="D88" s="256">
        <v>6045.32</v>
      </c>
      <c r="E88" s="256"/>
      <c r="F88" s="256"/>
      <c r="G88" s="256"/>
      <c r="H88" s="256"/>
      <c r="I88" s="256">
        <v>6045.32</v>
      </c>
      <c r="J88" s="257">
        <v>6045.32</v>
      </c>
    </row>
    <row r="89" spans="1:10" x14ac:dyDescent="0.3">
      <c r="A89" s="267" t="s">
        <v>872</v>
      </c>
      <c r="B89" s="265" t="s">
        <v>912</v>
      </c>
      <c r="C89" s="256"/>
      <c r="D89" s="256">
        <v>2999.48</v>
      </c>
      <c r="E89" s="256"/>
      <c r="F89" s="256"/>
      <c r="G89" s="256"/>
      <c r="H89" s="256"/>
      <c r="I89" s="256">
        <v>2999.48</v>
      </c>
      <c r="J89" s="257">
        <v>2999.48</v>
      </c>
    </row>
    <row r="90" spans="1:10" x14ac:dyDescent="0.3">
      <c r="A90" s="267" t="s">
        <v>586</v>
      </c>
      <c r="B90" s="265" t="s">
        <v>587</v>
      </c>
      <c r="C90" s="256"/>
      <c r="D90" s="256">
        <v>71269</v>
      </c>
      <c r="E90" s="256"/>
      <c r="F90" s="256"/>
      <c r="G90" s="256"/>
      <c r="H90" s="256"/>
      <c r="I90" s="256">
        <v>71269</v>
      </c>
      <c r="J90" s="257">
        <v>71269</v>
      </c>
    </row>
    <row r="91" spans="1:10" x14ac:dyDescent="0.3">
      <c r="A91" s="267" t="s">
        <v>588</v>
      </c>
      <c r="B91" s="265" t="s">
        <v>931</v>
      </c>
      <c r="C91" s="256"/>
      <c r="D91" s="256">
        <v>33884.839999999997</v>
      </c>
      <c r="E91" s="256"/>
      <c r="F91" s="256"/>
      <c r="G91" s="256"/>
      <c r="H91" s="256"/>
      <c r="I91" s="256">
        <v>33884.839999999997</v>
      </c>
      <c r="J91" s="257">
        <v>33884.839999999997</v>
      </c>
    </row>
    <row r="92" spans="1:10" x14ac:dyDescent="0.3">
      <c r="A92" s="267" t="s">
        <v>589</v>
      </c>
      <c r="B92" s="265" t="s">
        <v>590</v>
      </c>
      <c r="C92" s="256"/>
      <c r="D92" s="256">
        <v>145687.63</v>
      </c>
      <c r="E92" s="256"/>
      <c r="F92" s="256"/>
      <c r="G92" s="256"/>
      <c r="H92" s="256"/>
      <c r="I92" s="256">
        <v>145687.63</v>
      </c>
      <c r="J92" s="257">
        <v>145687.63</v>
      </c>
    </row>
    <row r="93" spans="1:10" x14ac:dyDescent="0.3">
      <c r="A93" s="267" t="s">
        <v>591</v>
      </c>
      <c r="B93" s="265" t="s">
        <v>592</v>
      </c>
      <c r="C93" s="256"/>
      <c r="D93" s="256">
        <v>103136.58</v>
      </c>
      <c r="E93" s="256"/>
      <c r="F93" s="256"/>
      <c r="G93" s="256"/>
      <c r="H93" s="256"/>
      <c r="I93" s="256">
        <v>103136.58</v>
      </c>
      <c r="J93" s="257">
        <v>103136.58</v>
      </c>
    </row>
    <row r="94" spans="1:10" x14ac:dyDescent="0.3">
      <c r="A94" s="267" t="s">
        <v>593</v>
      </c>
      <c r="B94" s="265" t="s">
        <v>594</v>
      </c>
      <c r="C94" s="256"/>
      <c r="D94" s="256">
        <v>1247565.6399999999</v>
      </c>
      <c r="E94" s="256"/>
      <c r="F94" s="256"/>
      <c r="G94" s="256"/>
      <c r="H94" s="256"/>
      <c r="I94" s="256">
        <v>1247565.6399999999</v>
      </c>
      <c r="J94" s="257">
        <v>1247565.6399999999</v>
      </c>
    </row>
    <row r="95" spans="1:10" x14ac:dyDescent="0.3">
      <c r="A95" s="267" t="s">
        <v>595</v>
      </c>
      <c r="B95" s="265" t="s">
        <v>932</v>
      </c>
      <c r="C95" s="256"/>
      <c r="D95" s="256">
        <v>14603.62</v>
      </c>
      <c r="E95" s="256"/>
      <c r="F95" s="256"/>
      <c r="G95" s="256"/>
      <c r="H95" s="256"/>
      <c r="I95" s="256">
        <v>14603.62</v>
      </c>
      <c r="J95" s="257">
        <v>14603.62</v>
      </c>
    </row>
    <row r="96" spans="1:10" x14ac:dyDescent="0.3">
      <c r="A96" s="267" t="s">
        <v>596</v>
      </c>
      <c r="B96" s="265" t="s">
        <v>597</v>
      </c>
      <c r="C96" s="256"/>
      <c r="D96" s="256">
        <v>431386.66</v>
      </c>
      <c r="E96" s="256"/>
      <c r="F96" s="256"/>
      <c r="G96" s="256"/>
      <c r="H96" s="256"/>
      <c r="I96" s="256">
        <v>431386.66</v>
      </c>
      <c r="J96" s="257">
        <v>431386.66</v>
      </c>
    </row>
    <row r="97" spans="1:10" x14ac:dyDescent="0.3">
      <c r="A97" s="267" t="s">
        <v>598</v>
      </c>
      <c r="B97" s="265" t="s">
        <v>599</v>
      </c>
      <c r="C97" s="256"/>
      <c r="D97" s="256">
        <v>140700.07999999999</v>
      </c>
      <c r="E97" s="256"/>
      <c r="F97" s="256"/>
      <c r="G97" s="256"/>
      <c r="H97" s="256"/>
      <c r="I97" s="256">
        <v>140700.07999999999</v>
      </c>
      <c r="J97" s="257">
        <v>140700.07999999999</v>
      </c>
    </row>
    <row r="98" spans="1:10" x14ac:dyDescent="0.3">
      <c r="A98" s="267" t="s">
        <v>600</v>
      </c>
      <c r="B98" s="265" t="s">
        <v>601</v>
      </c>
      <c r="C98" s="256"/>
      <c r="D98" s="256">
        <v>11581.39</v>
      </c>
      <c r="E98" s="256"/>
      <c r="F98" s="256"/>
      <c r="G98" s="256"/>
      <c r="H98" s="256"/>
      <c r="I98" s="256">
        <v>11581.39</v>
      </c>
      <c r="J98" s="257">
        <v>11581.39</v>
      </c>
    </row>
    <row r="99" spans="1:10" x14ac:dyDescent="0.3">
      <c r="A99" s="267" t="s">
        <v>602</v>
      </c>
      <c r="B99" s="265" t="s">
        <v>603</v>
      </c>
      <c r="C99" s="256"/>
      <c r="D99" s="256">
        <v>842487.54</v>
      </c>
      <c r="E99" s="256"/>
      <c r="F99" s="256"/>
      <c r="G99" s="256"/>
      <c r="H99" s="256"/>
      <c r="I99" s="256">
        <v>842487.54</v>
      </c>
      <c r="J99" s="257">
        <v>842487.54</v>
      </c>
    </row>
    <row r="100" spans="1:10" x14ac:dyDescent="0.3">
      <c r="A100" s="267" t="s">
        <v>604</v>
      </c>
      <c r="B100" s="265" t="s">
        <v>605</v>
      </c>
      <c r="C100" s="256"/>
      <c r="D100" s="256">
        <v>404.84</v>
      </c>
      <c r="E100" s="256"/>
      <c r="F100" s="256"/>
      <c r="G100" s="256"/>
      <c r="H100" s="256"/>
      <c r="I100" s="256">
        <v>404.84</v>
      </c>
      <c r="J100" s="257">
        <v>404.84</v>
      </c>
    </row>
    <row r="101" spans="1:10" x14ac:dyDescent="0.3">
      <c r="A101" s="266" t="s">
        <v>606</v>
      </c>
      <c r="B101" s="265" t="s">
        <v>607</v>
      </c>
      <c r="C101" s="256">
        <v>24120987.530000001</v>
      </c>
      <c r="D101" s="256"/>
      <c r="E101" s="256"/>
      <c r="F101" s="256"/>
      <c r="G101" s="256"/>
      <c r="H101" s="256">
        <v>24120987.530000001</v>
      </c>
      <c r="I101" s="256"/>
      <c r="J101" s="257">
        <v>24120987.530000001</v>
      </c>
    </row>
    <row r="102" spans="1:10" x14ac:dyDescent="0.3">
      <c r="A102" s="267" t="s">
        <v>608</v>
      </c>
      <c r="B102" s="265" t="s">
        <v>609</v>
      </c>
      <c r="C102" s="256">
        <v>2701248.86</v>
      </c>
      <c r="D102" s="256"/>
      <c r="E102" s="256"/>
      <c r="F102" s="256"/>
      <c r="G102" s="256"/>
      <c r="H102" s="256">
        <v>2701248.86</v>
      </c>
      <c r="I102" s="256"/>
      <c r="J102" s="257">
        <v>2701248.86</v>
      </c>
    </row>
    <row r="103" spans="1:10" x14ac:dyDescent="0.3">
      <c r="A103" s="267" t="s">
        <v>610</v>
      </c>
      <c r="B103" s="265" t="s">
        <v>611</v>
      </c>
      <c r="C103" s="256">
        <v>85034.59</v>
      </c>
      <c r="D103" s="256"/>
      <c r="E103" s="256"/>
      <c r="F103" s="256"/>
      <c r="G103" s="256"/>
      <c r="H103" s="256">
        <v>85034.59</v>
      </c>
      <c r="I103" s="256"/>
      <c r="J103" s="257">
        <v>85034.59</v>
      </c>
    </row>
    <row r="104" spans="1:10" x14ac:dyDescent="0.3">
      <c r="A104" s="267" t="s">
        <v>612</v>
      </c>
      <c r="B104" s="265" t="s">
        <v>613</v>
      </c>
      <c r="C104" s="256">
        <v>1625328.42</v>
      </c>
      <c r="D104" s="256"/>
      <c r="E104" s="256"/>
      <c r="F104" s="256"/>
      <c r="G104" s="256"/>
      <c r="H104" s="256">
        <v>1625328.42</v>
      </c>
      <c r="I104" s="256"/>
      <c r="J104" s="257">
        <v>1625328.42</v>
      </c>
    </row>
    <row r="105" spans="1:10" x14ac:dyDescent="0.3">
      <c r="A105" s="267" t="s">
        <v>614</v>
      </c>
      <c r="B105" s="265" t="s">
        <v>615</v>
      </c>
      <c r="C105" s="256">
        <v>670140.84</v>
      </c>
      <c r="D105" s="256"/>
      <c r="E105" s="256"/>
      <c r="F105" s="256"/>
      <c r="G105" s="256"/>
      <c r="H105" s="256">
        <v>670140.84</v>
      </c>
      <c r="I105" s="256"/>
      <c r="J105" s="257">
        <v>670140.84</v>
      </c>
    </row>
    <row r="106" spans="1:10" x14ac:dyDescent="0.3">
      <c r="A106" s="267" t="s">
        <v>616</v>
      </c>
      <c r="B106" s="265" t="s">
        <v>617</v>
      </c>
      <c r="C106" s="256">
        <v>2914429.03</v>
      </c>
      <c r="D106" s="256"/>
      <c r="E106" s="256"/>
      <c r="F106" s="256"/>
      <c r="G106" s="256"/>
      <c r="H106" s="256">
        <v>2914429.03</v>
      </c>
      <c r="I106" s="256"/>
      <c r="J106" s="257">
        <v>2914429.03</v>
      </c>
    </row>
    <row r="107" spans="1:10" x14ac:dyDescent="0.3">
      <c r="A107" s="267" t="s">
        <v>618</v>
      </c>
      <c r="B107" s="265" t="s">
        <v>619</v>
      </c>
      <c r="C107" s="256">
        <v>1572656.48</v>
      </c>
      <c r="D107" s="256"/>
      <c r="E107" s="256"/>
      <c r="F107" s="256"/>
      <c r="G107" s="256"/>
      <c r="H107" s="256">
        <v>1572656.48</v>
      </c>
      <c r="I107" s="256"/>
      <c r="J107" s="257">
        <v>1572656.48</v>
      </c>
    </row>
    <row r="108" spans="1:10" x14ac:dyDescent="0.3">
      <c r="A108" s="267" t="s">
        <v>620</v>
      </c>
      <c r="B108" s="265" t="s">
        <v>621</v>
      </c>
      <c r="C108" s="256">
        <v>87714.19</v>
      </c>
      <c r="D108" s="256"/>
      <c r="E108" s="256"/>
      <c r="F108" s="256"/>
      <c r="G108" s="256"/>
      <c r="H108" s="256">
        <v>87714.19</v>
      </c>
      <c r="I108" s="256"/>
      <c r="J108" s="257">
        <v>87714.19</v>
      </c>
    </row>
    <row r="109" spans="1:10" x14ac:dyDescent="0.3">
      <c r="A109" s="267" t="s">
        <v>622</v>
      </c>
      <c r="B109" s="265" t="s">
        <v>623</v>
      </c>
      <c r="C109" s="256">
        <v>1235002.0900000001</v>
      </c>
      <c r="D109" s="256"/>
      <c r="E109" s="256"/>
      <c r="F109" s="256"/>
      <c r="G109" s="256"/>
      <c r="H109" s="256">
        <v>1235002.0900000001</v>
      </c>
      <c r="I109" s="256"/>
      <c r="J109" s="257">
        <v>1235002.0900000001</v>
      </c>
    </row>
    <row r="110" spans="1:10" x14ac:dyDescent="0.3">
      <c r="A110" s="267" t="s">
        <v>624</v>
      </c>
      <c r="B110" s="265" t="s">
        <v>625</v>
      </c>
      <c r="C110" s="256">
        <v>291574.96999999997</v>
      </c>
      <c r="D110" s="256"/>
      <c r="E110" s="256"/>
      <c r="F110" s="256"/>
      <c r="G110" s="256"/>
      <c r="H110" s="256">
        <v>291574.96999999997</v>
      </c>
      <c r="I110" s="256"/>
      <c r="J110" s="257">
        <v>291574.96999999997</v>
      </c>
    </row>
    <row r="111" spans="1:10" x14ac:dyDescent="0.3">
      <c r="A111" s="267" t="s">
        <v>626</v>
      </c>
      <c r="B111" s="265" t="s">
        <v>627</v>
      </c>
      <c r="C111" s="256">
        <v>2952511.29</v>
      </c>
      <c r="D111" s="256"/>
      <c r="E111" s="256"/>
      <c r="F111" s="256"/>
      <c r="G111" s="256"/>
      <c r="H111" s="256">
        <v>2952511.29</v>
      </c>
      <c r="I111" s="256"/>
      <c r="J111" s="257">
        <v>2952511.29</v>
      </c>
    </row>
    <row r="112" spans="1:10" x14ac:dyDescent="0.3">
      <c r="A112" s="267" t="s">
        <v>628</v>
      </c>
      <c r="B112" s="265" t="s">
        <v>629</v>
      </c>
      <c r="C112" s="256">
        <v>462594.12</v>
      </c>
      <c r="D112" s="256"/>
      <c r="E112" s="256"/>
      <c r="F112" s="256"/>
      <c r="G112" s="256"/>
      <c r="H112" s="256">
        <v>462594.12</v>
      </c>
      <c r="I112" s="256"/>
      <c r="J112" s="257">
        <v>462594.12</v>
      </c>
    </row>
    <row r="113" spans="1:10" x14ac:dyDescent="0.3">
      <c r="A113" s="267" t="s">
        <v>630</v>
      </c>
      <c r="B113" s="265" t="s">
        <v>631</v>
      </c>
      <c r="C113" s="256">
        <v>53697</v>
      </c>
      <c r="D113" s="256"/>
      <c r="E113" s="256"/>
      <c r="F113" s="256"/>
      <c r="G113" s="256"/>
      <c r="H113" s="256">
        <v>53697</v>
      </c>
      <c r="I113" s="256"/>
      <c r="J113" s="257">
        <v>53697</v>
      </c>
    </row>
    <row r="114" spans="1:10" x14ac:dyDescent="0.3">
      <c r="A114" s="267" t="s">
        <v>632</v>
      </c>
      <c r="B114" s="265" t="s">
        <v>933</v>
      </c>
      <c r="C114" s="256">
        <v>5291.24</v>
      </c>
      <c r="D114" s="256"/>
      <c r="E114" s="256"/>
      <c r="F114" s="256"/>
      <c r="G114" s="256"/>
      <c r="H114" s="256">
        <v>5291.24</v>
      </c>
      <c r="I114" s="256"/>
      <c r="J114" s="257">
        <v>5291.24</v>
      </c>
    </row>
    <row r="115" spans="1:10" x14ac:dyDescent="0.3">
      <c r="A115" s="267" t="s">
        <v>882</v>
      </c>
      <c r="B115" s="265" t="s">
        <v>934</v>
      </c>
      <c r="C115" s="256">
        <v>35.119999999999997</v>
      </c>
      <c r="D115" s="256"/>
      <c r="E115" s="256"/>
      <c r="F115" s="256"/>
      <c r="G115" s="256"/>
      <c r="H115" s="256">
        <v>35.119999999999997</v>
      </c>
      <c r="I115" s="256"/>
      <c r="J115" s="257">
        <v>35.119999999999997</v>
      </c>
    </row>
    <row r="116" spans="1:10" x14ac:dyDescent="0.3">
      <c r="A116" s="267" t="s">
        <v>633</v>
      </c>
      <c r="B116" s="265" t="s">
        <v>634</v>
      </c>
      <c r="C116" s="256">
        <v>178303.63</v>
      </c>
      <c r="D116" s="256"/>
      <c r="E116" s="256"/>
      <c r="F116" s="256"/>
      <c r="G116" s="256"/>
      <c r="H116" s="256">
        <v>178303.63</v>
      </c>
      <c r="I116" s="256"/>
      <c r="J116" s="257">
        <v>178303.63</v>
      </c>
    </row>
    <row r="117" spans="1:10" x14ac:dyDescent="0.3">
      <c r="A117" s="267" t="s">
        <v>635</v>
      </c>
      <c r="B117" s="265" t="s">
        <v>636</v>
      </c>
      <c r="C117" s="256">
        <v>1884698.15</v>
      </c>
      <c r="D117" s="256"/>
      <c r="E117" s="256"/>
      <c r="F117" s="256"/>
      <c r="G117" s="256"/>
      <c r="H117" s="256">
        <v>1884698.15</v>
      </c>
      <c r="I117" s="256"/>
      <c r="J117" s="257">
        <v>1884698.15</v>
      </c>
    </row>
    <row r="118" spans="1:10" x14ac:dyDescent="0.3">
      <c r="A118" s="267" t="s">
        <v>637</v>
      </c>
      <c r="B118" s="265" t="s">
        <v>638</v>
      </c>
      <c r="C118" s="256">
        <v>7321785.21</v>
      </c>
      <c r="D118" s="256"/>
      <c r="E118" s="256"/>
      <c r="F118" s="256"/>
      <c r="G118" s="256"/>
      <c r="H118" s="256">
        <v>7321785.21</v>
      </c>
      <c r="I118" s="256"/>
      <c r="J118" s="257">
        <v>7321785.21</v>
      </c>
    </row>
    <row r="119" spans="1:10" x14ac:dyDescent="0.3">
      <c r="A119" s="267" t="s">
        <v>639</v>
      </c>
      <c r="B119" s="265" t="s">
        <v>640</v>
      </c>
      <c r="C119" s="256">
        <v>78942.3</v>
      </c>
      <c r="D119" s="256"/>
      <c r="E119" s="256"/>
      <c r="F119" s="256"/>
      <c r="G119" s="256"/>
      <c r="H119" s="256">
        <v>78942.3</v>
      </c>
      <c r="I119" s="256"/>
      <c r="J119" s="257">
        <v>78942.3</v>
      </c>
    </row>
    <row r="120" spans="1:10" x14ac:dyDescent="0.3">
      <c r="A120" s="266" t="s">
        <v>642</v>
      </c>
      <c r="B120" s="265" t="s">
        <v>643</v>
      </c>
      <c r="C120" s="256">
        <v>80879041.140000001</v>
      </c>
      <c r="D120" s="256">
        <v>56478736.409999996</v>
      </c>
      <c r="E120" s="256"/>
      <c r="F120" s="256"/>
      <c r="G120" s="256"/>
      <c r="H120" s="256">
        <v>80879041.140000001</v>
      </c>
      <c r="I120" s="256">
        <v>56478736.409999996</v>
      </c>
      <c r="J120" s="257">
        <v>137357777.55000001</v>
      </c>
    </row>
    <row r="121" spans="1:10" x14ac:dyDescent="0.3">
      <c r="A121" s="267" t="s">
        <v>644</v>
      </c>
      <c r="B121" s="265" t="s">
        <v>645</v>
      </c>
      <c r="C121" s="256">
        <v>2828107.77</v>
      </c>
      <c r="D121" s="256"/>
      <c r="E121" s="256"/>
      <c r="F121" s="256"/>
      <c r="G121" s="256"/>
      <c r="H121" s="256">
        <v>2828107.77</v>
      </c>
      <c r="I121" s="256"/>
      <c r="J121" s="257">
        <v>2828107.77</v>
      </c>
    </row>
    <row r="122" spans="1:10" x14ac:dyDescent="0.3">
      <c r="A122" s="267" t="s">
        <v>646</v>
      </c>
      <c r="B122" s="265" t="s">
        <v>647</v>
      </c>
      <c r="C122" s="256">
        <v>1603559.2</v>
      </c>
      <c r="D122" s="256"/>
      <c r="E122" s="256"/>
      <c r="F122" s="256"/>
      <c r="G122" s="256"/>
      <c r="H122" s="256">
        <v>1603559.2</v>
      </c>
      <c r="I122" s="256"/>
      <c r="J122" s="257">
        <v>1603559.2</v>
      </c>
    </row>
    <row r="123" spans="1:10" x14ac:dyDescent="0.3">
      <c r="A123" s="267" t="s">
        <v>648</v>
      </c>
      <c r="B123" s="265" t="s">
        <v>649</v>
      </c>
      <c r="C123" s="256">
        <v>2240360.19</v>
      </c>
      <c r="D123" s="256"/>
      <c r="E123" s="256"/>
      <c r="F123" s="256"/>
      <c r="G123" s="256"/>
      <c r="H123" s="256">
        <v>2240360.19</v>
      </c>
      <c r="I123" s="256"/>
      <c r="J123" s="257">
        <v>2240360.19</v>
      </c>
    </row>
    <row r="124" spans="1:10" x14ac:dyDescent="0.3">
      <c r="A124" s="267" t="s">
        <v>650</v>
      </c>
      <c r="B124" s="265" t="s">
        <v>651</v>
      </c>
      <c r="C124" s="256">
        <v>2577803.29</v>
      </c>
      <c r="D124" s="256"/>
      <c r="E124" s="256"/>
      <c r="F124" s="256"/>
      <c r="G124" s="256"/>
      <c r="H124" s="256">
        <v>2577803.29</v>
      </c>
      <c r="I124" s="256"/>
      <c r="J124" s="257">
        <v>2577803.29</v>
      </c>
    </row>
    <row r="125" spans="1:10" x14ac:dyDescent="0.3">
      <c r="A125" s="267" t="s">
        <v>652</v>
      </c>
      <c r="B125" s="265" t="s">
        <v>653</v>
      </c>
      <c r="C125" s="256">
        <v>4481910.3</v>
      </c>
      <c r="D125" s="256"/>
      <c r="E125" s="256"/>
      <c r="F125" s="256"/>
      <c r="G125" s="256"/>
      <c r="H125" s="256">
        <v>4481910.3</v>
      </c>
      <c r="I125" s="256"/>
      <c r="J125" s="257">
        <v>4481910.3</v>
      </c>
    </row>
    <row r="126" spans="1:10" x14ac:dyDescent="0.3">
      <c r="A126" s="267" t="s">
        <v>654</v>
      </c>
      <c r="B126" s="265" t="s">
        <v>655</v>
      </c>
      <c r="C126" s="256">
        <v>4408.16</v>
      </c>
      <c r="D126" s="256"/>
      <c r="E126" s="256"/>
      <c r="F126" s="256"/>
      <c r="G126" s="256"/>
      <c r="H126" s="256">
        <v>4408.16</v>
      </c>
      <c r="I126" s="256"/>
      <c r="J126" s="257">
        <v>4408.16</v>
      </c>
    </row>
    <row r="127" spans="1:10" x14ac:dyDescent="0.3">
      <c r="A127" s="267" t="s">
        <v>656</v>
      </c>
      <c r="B127" s="265" t="s">
        <v>657</v>
      </c>
      <c r="C127" s="256">
        <v>2529506.5</v>
      </c>
      <c r="D127" s="256"/>
      <c r="E127" s="256"/>
      <c r="F127" s="256"/>
      <c r="G127" s="256"/>
      <c r="H127" s="256">
        <v>2529506.5</v>
      </c>
      <c r="I127" s="256"/>
      <c r="J127" s="257">
        <v>2529506.5</v>
      </c>
    </row>
    <row r="128" spans="1:10" x14ac:dyDescent="0.3">
      <c r="A128" s="267" t="s">
        <v>658</v>
      </c>
      <c r="B128" s="265" t="s">
        <v>659</v>
      </c>
      <c r="C128" s="256">
        <v>3574237.81</v>
      </c>
      <c r="D128" s="256"/>
      <c r="E128" s="256"/>
      <c r="F128" s="256"/>
      <c r="G128" s="256"/>
      <c r="H128" s="256">
        <v>3574237.81</v>
      </c>
      <c r="I128" s="256"/>
      <c r="J128" s="257">
        <v>3574237.81</v>
      </c>
    </row>
    <row r="129" spans="1:10" x14ac:dyDescent="0.3">
      <c r="A129" s="267" t="s">
        <v>660</v>
      </c>
      <c r="B129" s="265" t="s">
        <v>661</v>
      </c>
      <c r="C129" s="256">
        <v>10194398.91</v>
      </c>
      <c r="D129" s="256"/>
      <c r="E129" s="256"/>
      <c r="F129" s="256"/>
      <c r="G129" s="256"/>
      <c r="H129" s="256">
        <v>10194398.91</v>
      </c>
      <c r="I129" s="256"/>
      <c r="J129" s="257">
        <v>10194398.91</v>
      </c>
    </row>
    <row r="130" spans="1:10" x14ac:dyDescent="0.3">
      <c r="A130" s="267" t="s">
        <v>662</v>
      </c>
      <c r="B130" s="265" t="s">
        <v>663</v>
      </c>
      <c r="C130" s="256">
        <v>1501276.65</v>
      </c>
      <c r="D130" s="256"/>
      <c r="E130" s="256"/>
      <c r="F130" s="256"/>
      <c r="G130" s="256"/>
      <c r="H130" s="256">
        <v>1501276.65</v>
      </c>
      <c r="I130" s="256"/>
      <c r="J130" s="257">
        <v>1501276.65</v>
      </c>
    </row>
    <row r="131" spans="1:10" x14ac:dyDescent="0.3">
      <c r="A131" s="267" t="s">
        <v>664</v>
      </c>
      <c r="B131" s="265" t="s">
        <v>665</v>
      </c>
      <c r="C131" s="256">
        <v>567073.49</v>
      </c>
      <c r="D131" s="256"/>
      <c r="E131" s="256"/>
      <c r="F131" s="256"/>
      <c r="G131" s="256"/>
      <c r="H131" s="256">
        <v>567073.49</v>
      </c>
      <c r="I131" s="256"/>
      <c r="J131" s="257">
        <v>567073.49</v>
      </c>
    </row>
    <row r="132" spans="1:10" x14ac:dyDescent="0.3">
      <c r="A132" s="267" t="s">
        <v>666</v>
      </c>
      <c r="B132" s="265" t="s">
        <v>667</v>
      </c>
      <c r="C132" s="256">
        <v>1367269.19</v>
      </c>
      <c r="D132" s="256"/>
      <c r="E132" s="256"/>
      <c r="F132" s="256"/>
      <c r="G132" s="256"/>
      <c r="H132" s="256">
        <v>1367269.19</v>
      </c>
      <c r="I132" s="256"/>
      <c r="J132" s="257">
        <v>1367269.19</v>
      </c>
    </row>
    <row r="133" spans="1:10" x14ac:dyDescent="0.3">
      <c r="A133" s="267" t="s">
        <v>668</v>
      </c>
      <c r="B133" s="265" t="s">
        <v>669</v>
      </c>
      <c r="C133" s="256">
        <v>34816830.149999999</v>
      </c>
      <c r="D133" s="256"/>
      <c r="E133" s="256"/>
      <c r="F133" s="256"/>
      <c r="G133" s="256"/>
      <c r="H133" s="256">
        <v>34816830.149999999</v>
      </c>
      <c r="I133" s="256"/>
      <c r="J133" s="257">
        <v>34816830.149999999</v>
      </c>
    </row>
    <row r="134" spans="1:10" x14ac:dyDescent="0.3">
      <c r="A134" s="267" t="s">
        <v>670</v>
      </c>
      <c r="B134" s="265" t="s">
        <v>671</v>
      </c>
      <c r="C134" s="256">
        <v>9900645.3200000003</v>
      </c>
      <c r="D134" s="256"/>
      <c r="E134" s="256"/>
      <c r="F134" s="256"/>
      <c r="G134" s="256"/>
      <c r="H134" s="256">
        <v>9900645.3200000003</v>
      </c>
      <c r="I134" s="256"/>
      <c r="J134" s="257">
        <v>9900645.3200000003</v>
      </c>
    </row>
    <row r="135" spans="1:10" x14ac:dyDescent="0.3">
      <c r="A135" s="267" t="s">
        <v>672</v>
      </c>
      <c r="B135" s="265" t="s">
        <v>673</v>
      </c>
      <c r="C135" s="256">
        <v>107940.42</v>
      </c>
      <c r="D135" s="256"/>
      <c r="E135" s="256"/>
      <c r="F135" s="256"/>
      <c r="G135" s="256"/>
      <c r="H135" s="256">
        <v>107940.42</v>
      </c>
      <c r="I135" s="256"/>
      <c r="J135" s="257">
        <v>107940.42</v>
      </c>
    </row>
    <row r="136" spans="1:10" x14ac:dyDescent="0.3">
      <c r="A136" s="267" t="s">
        <v>674</v>
      </c>
      <c r="B136" s="265" t="s">
        <v>675</v>
      </c>
      <c r="C136" s="256">
        <v>2003454.6</v>
      </c>
      <c r="D136" s="256"/>
      <c r="E136" s="256"/>
      <c r="F136" s="256"/>
      <c r="G136" s="256"/>
      <c r="H136" s="256">
        <v>2003454.6</v>
      </c>
      <c r="I136" s="256"/>
      <c r="J136" s="257">
        <v>2003454.6</v>
      </c>
    </row>
    <row r="137" spans="1:10" x14ac:dyDescent="0.3">
      <c r="A137" s="267" t="s">
        <v>676</v>
      </c>
      <c r="B137" s="265" t="s">
        <v>677</v>
      </c>
      <c r="C137" s="256">
        <v>580259.18999999994</v>
      </c>
      <c r="D137" s="256"/>
      <c r="E137" s="256"/>
      <c r="F137" s="256"/>
      <c r="G137" s="256"/>
      <c r="H137" s="256">
        <v>580259.18999999994</v>
      </c>
      <c r="I137" s="256"/>
      <c r="J137" s="257">
        <v>580259.18999999994</v>
      </c>
    </row>
    <row r="138" spans="1:10" x14ac:dyDescent="0.3">
      <c r="A138" s="267" t="s">
        <v>678</v>
      </c>
      <c r="B138" s="265" t="s">
        <v>645</v>
      </c>
      <c r="C138" s="256"/>
      <c r="D138" s="256">
        <v>2187538.36</v>
      </c>
      <c r="E138" s="256"/>
      <c r="F138" s="256"/>
      <c r="G138" s="256"/>
      <c r="H138" s="256"/>
      <c r="I138" s="256">
        <v>2187538.36</v>
      </c>
      <c r="J138" s="257">
        <v>2187538.36</v>
      </c>
    </row>
    <row r="139" spans="1:10" x14ac:dyDescent="0.3">
      <c r="A139" s="267" t="s">
        <v>679</v>
      </c>
      <c r="B139" s="265" t="s">
        <v>647</v>
      </c>
      <c r="C139" s="256"/>
      <c r="D139" s="256">
        <v>258821.35</v>
      </c>
      <c r="E139" s="256"/>
      <c r="F139" s="256"/>
      <c r="G139" s="256"/>
      <c r="H139" s="256"/>
      <c r="I139" s="256">
        <v>258821.35</v>
      </c>
      <c r="J139" s="257">
        <v>258821.35</v>
      </c>
    </row>
    <row r="140" spans="1:10" x14ac:dyDescent="0.3">
      <c r="A140" s="267" t="s">
        <v>680</v>
      </c>
      <c r="B140" s="265" t="s">
        <v>681</v>
      </c>
      <c r="C140" s="256"/>
      <c r="D140" s="256">
        <v>16786165.920000002</v>
      </c>
      <c r="E140" s="256"/>
      <c r="F140" s="256"/>
      <c r="G140" s="256"/>
      <c r="H140" s="256"/>
      <c r="I140" s="256">
        <v>16786165.920000002</v>
      </c>
      <c r="J140" s="257">
        <v>16786165.920000002</v>
      </c>
    </row>
    <row r="141" spans="1:10" x14ac:dyDescent="0.3">
      <c r="A141" s="267" t="s">
        <v>682</v>
      </c>
      <c r="B141" s="265" t="s">
        <v>683</v>
      </c>
      <c r="C141" s="256"/>
      <c r="D141" s="256">
        <v>1759721.67</v>
      </c>
      <c r="E141" s="256"/>
      <c r="F141" s="256"/>
      <c r="G141" s="256"/>
      <c r="H141" s="256"/>
      <c r="I141" s="256">
        <v>1759721.67</v>
      </c>
      <c r="J141" s="257">
        <v>1759721.67</v>
      </c>
    </row>
    <row r="142" spans="1:10" x14ac:dyDescent="0.3">
      <c r="A142" s="267" t="s">
        <v>684</v>
      </c>
      <c r="B142" s="265" t="s">
        <v>685</v>
      </c>
      <c r="C142" s="256"/>
      <c r="D142" s="256">
        <v>367009.2</v>
      </c>
      <c r="E142" s="256"/>
      <c r="F142" s="256"/>
      <c r="G142" s="256"/>
      <c r="H142" s="256"/>
      <c r="I142" s="256">
        <v>367009.2</v>
      </c>
      <c r="J142" s="257">
        <v>367009.2</v>
      </c>
    </row>
    <row r="143" spans="1:10" x14ac:dyDescent="0.3">
      <c r="A143" s="267" t="s">
        <v>686</v>
      </c>
      <c r="B143" s="265" t="s">
        <v>687</v>
      </c>
      <c r="C143" s="256"/>
      <c r="D143" s="256">
        <v>1898323.56</v>
      </c>
      <c r="E143" s="256"/>
      <c r="F143" s="256"/>
      <c r="G143" s="256"/>
      <c r="H143" s="256"/>
      <c r="I143" s="256">
        <v>1898323.56</v>
      </c>
      <c r="J143" s="257">
        <v>1898323.56</v>
      </c>
    </row>
    <row r="144" spans="1:10" x14ac:dyDescent="0.3">
      <c r="A144" s="267" t="s">
        <v>688</v>
      </c>
      <c r="B144" s="265" t="s">
        <v>659</v>
      </c>
      <c r="C144" s="256"/>
      <c r="D144" s="256">
        <v>3403918.3</v>
      </c>
      <c r="E144" s="256"/>
      <c r="F144" s="256"/>
      <c r="G144" s="256"/>
      <c r="H144" s="256"/>
      <c r="I144" s="256">
        <v>3403918.3</v>
      </c>
      <c r="J144" s="257">
        <v>3403918.3</v>
      </c>
    </row>
    <row r="145" spans="1:10" x14ac:dyDescent="0.3">
      <c r="A145" s="267" t="s">
        <v>689</v>
      </c>
      <c r="B145" s="265" t="s">
        <v>690</v>
      </c>
      <c r="C145" s="256"/>
      <c r="D145" s="256">
        <v>14137698.789999999</v>
      </c>
      <c r="E145" s="256"/>
      <c r="F145" s="256"/>
      <c r="G145" s="256"/>
      <c r="H145" s="256"/>
      <c r="I145" s="256">
        <v>14137698.789999999</v>
      </c>
      <c r="J145" s="257">
        <v>14137698.789999999</v>
      </c>
    </row>
    <row r="146" spans="1:10" x14ac:dyDescent="0.3">
      <c r="A146" s="267" t="s">
        <v>691</v>
      </c>
      <c r="B146" s="265" t="s">
        <v>663</v>
      </c>
      <c r="C146" s="256"/>
      <c r="D146" s="256">
        <v>283240.28000000003</v>
      </c>
      <c r="E146" s="256"/>
      <c r="F146" s="256"/>
      <c r="G146" s="256"/>
      <c r="H146" s="256"/>
      <c r="I146" s="256">
        <v>283240.28000000003</v>
      </c>
      <c r="J146" s="257">
        <v>283240.28000000003</v>
      </c>
    </row>
    <row r="147" spans="1:10" x14ac:dyDescent="0.3">
      <c r="A147" s="267" t="s">
        <v>692</v>
      </c>
      <c r="B147" s="265" t="s">
        <v>665</v>
      </c>
      <c r="C147" s="256"/>
      <c r="D147" s="256">
        <v>95325.87</v>
      </c>
      <c r="E147" s="256"/>
      <c r="F147" s="256"/>
      <c r="G147" s="256"/>
      <c r="H147" s="256"/>
      <c r="I147" s="256">
        <v>95325.87</v>
      </c>
      <c r="J147" s="257">
        <v>95325.87</v>
      </c>
    </row>
    <row r="148" spans="1:10" x14ac:dyDescent="0.3">
      <c r="A148" s="267" t="s">
        <v>693</v>
      </c>
      <c r="B148" s="265" t="s">
        <v>694</v>
      </c>
      <c r="C148" s="256"/>
      <c r="D148" s="256">
        <v>140997.79999999999</v>
      </c>
      <c r="E148" s="256"/>
      <c r="F148" s="256"/>
      <c r="G148" s="256"/>
      <c r="H148" s="256"/>
      <c r="I148" s="256">
        <v>140997.79999999999</v>
      </c>
      <c r="J148" s="257">
        <v>140997.79999999999</v>
      </c>
    </row>
    <row r="149" spans="1:10" x14ac:dyDescent="0.3">
      <c r="A149" s="267" t="s">
        <v>695</v>
      </c>
      <c r="B149" s="265" t="s">
        <v>696</v>
      </c>
      <c r="C149" s="256"/>
      <c r="D149" s="256">
        <v>8518327.6699999999</v>
      </c>
      <c r="E149" s="256"/>
      <c r="F149" s="256"/>
      <c r="G149" s="256"/>
      <c r="H149" s="256"/>
      <c r="I149" s="256">
        <v>8518327.6699999999</v>
      </c>
      <c r="J149" s="257">
        <v>8518327.6699999999</v>
      </c>
    </row>
    <row r="150" spans="1:10" x14ac:dyDescent="0.3">
      <c r="A150" s="267" t="s">
        <v>697</v>
      </c>
      <c r="B150" s="265" t="s">
        <v>698</v>
      </c>
      <c r="C150" s="256"/>
      <c r="D150" s="256">
        <v>827228.25</v>
      </c>
      <c r="E150" s="256"/>
      <c r="F150" s="256"/>
      <c r="G150" s="256"/>
      <c r="H150" s="256"/>
      <c r="I150" s="256">
        <v>827228.25</v>
      </c>
      <c r="J150" s="257">
        <v>827228.25</v>
      </c>
    </row>
    <row r="151" spans="1:10" x14ac:dyDescent="0.3">
      <c r="A151" s="267" t="s">
        <v>699</v>
      </c>
      <c r="B151" s="265" t="s">
        <v>700</v>
      </c>
      <c r="C151" s="256"/>
      <c r="D151" s="256">
        <v>237639.64</v>
      </c>
      <c r="E151" s="256"/>
      <c r="F151" s="256"/>
      <c r="G151" s="256"/>
      <c r="H151" s="256"/>
      <c r="I151" s="256">
        <v>237639.64</v>
      </c>
      <c r="J151" s="257">
        <v>237639.64</v>
      </c>
    </row>
    <row r="152" spans="1:10" x14ac:dyDescent="0.3">
      <c r="A152" s="267" t="s">
        <v>701</v>
      </c>
      <c r="B152" s="265" t="s">
        <v>702</v>
      </c>
      <c r="C152" s="256"/>
      <c r="D152" s="256">
        <v>4226767.2</v>
      </c>
      <c r="E152" s="256"/>
      <c r="F152" s="256"/>
      <c r="G152" s="256"/>
      <c r="H152" s="256"/>
      <c r="I152" s="256">
        <v>4226767.2</v>
      </c>
      <c r="J152" s="257">
        <v>4226767.2</v>
      </c>
    </row>
    <row r="153" spans="1:10" x14ac:dyDescent="0.3">
      <c r="A153" s="267" t="s">
        <v>703</v>
      </c>
      <c r="B153" s="265" t="s">
        <v>704</v>
      </c>
      <c r="C153" s="256"/>
      <c r="D153" s="256">
        <v>617959.21</v>
      </c>
      <c r="E153" s="256"/>
      <c r="F153" s="256"/>
      <c r="G153" s="256"/>
      <c r="H153" s="256"/>
      <c r="I153" s="256">
        <v>617959.21</v>
      </c>
      <c r="J153" s="257">
        <v>617959.21</v>
      </c>
    </row>
    <row r="154" spans="1:10" x14ac:dyDescent="0.3">
      <c r="A154" s="267" t="s">
        <v>705</v>
      </c>
      <c r="B154" s="265" t="s">
        <v>706</v>
      </c>
      <c r="C154" s="256"/>
      <c r="D154" s="256">
        <v>732053.34</v>
      </c>
      <c r="E154" s="256"/>
      <c r="F154" s="256"/>
      <c r="G154" s="256"/>
      <c r="H154" s="256"/>
      <c r="I154" s="256">
        <v>732053.34</v>
      </c>
      <c r="J154" s="257">
        <v>732053.34</v>
      </c>
    </row>
    <row r="155" spans="1:10" x14ac:dyDescent="0.3">
      <c r="A155" s="266" t="s">
        <v>707</v>
      </c>
      <c r="B155" s="265" t="s">
        <v>708</v>
      </c>
      <c r="C155" s="256">
        <v>28030653.870000001</v>
      </c>
      <c r="D155" s="256">
        <v>12840775.93</v>
      </c>
      <c r="E155" s="256">
        <v>38708928.899999999</v>
      </c>
      <c r="F155" s="256">
        <v>22573026.149999999</v>
      </c>
      <c r="G155" s="256">
        <v>16135902.75</v>
      </c>
      <c r="H155" s="256">
        <v>50603680.020000003</v>
      </c>
      <c r="I155" s="256">
        <v>28976678.68</v>
      </c>
      <c r="J155" s="257">
        <v>79580358.700000003</v>
      </c>
    </row>
    <row r="156" spans="1:10" x14ac:dyDescent="0.3">
      <c r="A156" s="267" t="s">
        <v>709</v>
      </c>
      <c r="B156" s="265" t="s">
        <v>710</v>
      </c>
      <c r="C156" s="256">
        <v>0</v>
      </c>
      <c r="D156" s="256">
        <v>0</v>
      </c>
      <c r="E156" s="256">
        <v>222560.93</v>
      </c>
      <c r="F156" s="256">
        <v>129196.71</v>
      </c>
      <c r="G156" s="256">
        <v>93364.22</v>
      </c>
      <c r="H156" s="256">
        <v>129196.71</v>
      </c>
      <c r="I156" s="256">
        <v>93364.22</v>
      </c>
      <c r="J156" s="257">
        <v>222560.93</v>
      </c>
    </row>
    <row r="157" spans="1:10" x14ac:dyDescent="0.3">
      <c r="A157" s="267" t="s">
        <v>711</v>
      </c>
      <c r="B157" s="265" t="s">
        <v>712</v>
      </c>
      <c r="C157" s="256">
        <v>10847318.42</v>
      </c>
      <c r="D157" s="256">
        <v>8028450.5300000003</v>
      </c>
      <c r="E157" s="256">
        <v>2297615.7999999998</v>
      </c>
      <c r="F157" s="256">
        <v>1429346.71</v>
      </c>
      <c r="G157" s="256">
        <v>868269.09</v>
      </c>
      <c r="H157" s="256">
        <v>12276665.130000001</v>
      </c>
      <c r="I157" s="256">
        <v>8896719.6199999992</v>
      </c>
      <c r="J157" s="257">
        <v>21173384.75</v>
      </c>
    </row>
    <row r="158" spans="1:10" x14ac:dyDescent="0.3">
      <c r="A158" s="267" t="s">
        <v>935</v>
      </c>
      <c r="B158" s="265" t="s">
        <v>936</v>
      </c>
      <c r="C158" s="256">
        <v>23759.4</v>
      </c>
      <c r="D158" s="256"/>
      <c r="E158" s="256"/>
      <c r="F158" s="256"/>
      <c r="G158" s="256"/>
      <c r="H158" s="256">
        <v>23759.4</v>
      </c>
      <c r="I158" s="256"/>
      <c r="J158" s="257">
        <v>23759.4</v>
      </c>
    </row>
    <row r="159" spans="1:10" x14ac:dyDescent="0.3">
      <c r="A159" s="267" t="s">
        <v>937</v>
      </c>
      <c r="B159" s="265" t="s">
        <v>938</v>
      </c>
      <c r="C159" s="256"/>
      <c r="D159" s="256">
        <v>19422.18</v>
      </c>
      <c r="E159" s="256"/>
      <c r="F159" s="256"/>
      <c r="G159" s="256"/>
      <c r="H159" s="256"/>
      <c r="I159" s="256">
        <v>19422.18</v>
      </c>
      <c r="J159" s="257">
        <v>19422.18</v>
      </c>
    </row>
    <row r="160" spans="1:10" x14ac:dyDescent="0.3">
      <c r="A160" s="267" t="s">
        <v>713</v>
      </c>
      <c r="B160" s="265" t="s">
        <v>714</v>
      </c>
      <c r="C160" s="256">
        <v>1112618.0900000001</v>
      </c>
      <c r="D160" s="256">
        <v>1281721.78</v>
      </c>
      <c r="E160" s="256">
        <v>36103834.670000002</v>
      </c>
      <c r="F160" s="256">
        <v>20958275.84</v>
      </c>
      <c r="G160" s="256">
        <v>15145558.83</v>
      </c>
      <c r="H160" s="256">
        <v>22070893.93</v>
      </c>
      <c r="I160" s="256">
        <v>16427280.609999999</v>
      </c>
      <c r="J160" s="257">
        <v>38498174.539999999</v>
      </c>
    </row>
    <row r="161" spans="1:10" x14ac:dyDescent="0.3">
      <c r="A161" s="267" t="s">
        <v>715</v>
      </c>
      <c r="B161" s="265" t="s">
        <v>716</v>
      </c>
      <c r="C161" s="256">
        <v>1508250.8</v>
      </c>
      <c r="D161" s="256"/>
      <c r="E161" s="256"/>
      <c r="F161" s="256"/>
      <c r="G161" s="256"/>
      <c r="H161" s="256">
        <v>1508250.8</v>
      </c>
      <c r="I161" s="256"/>
      <c r="J161" s="257">
        <v>1508250.8</v>
      </c>
    </row>
    <row r="162" spans="1:10" x14ac:dyDescent="0.3">
      <c r="A162" s="267" t="s">
        <v>939</v>
      </c>
      <c r="B162" s="265" t="s">
        <v>940</v>
      </c>
      <c r="C162" s="256"/>
      <c r="D162" s="256">
        <v>269926.88</v>
      </c>
      <c r="E162" s="256"/>
      <c r="F162" s="256"/>
      <c r="G162" s="256"/>
      <c r="H162" s="256"/>
      <c r="I162" s="256">
        <v>269926.88</v>
      </c>
      <c r="J162" s="257">
        <v>269926.88</v>
      </c>
    </row>
    <row r="163" spans="1:10" x14ac:dyDescent="0.3">
      <c r="A163" s="267" t="s">
        <v>717</v>
      </c>
      <c r="B163" s="265" t="s">
        <v>718</v>
      </c>
      <c r="C163" s="256">
        <v>14538707.16</v>
      </c>
      <c r="D163" s="256">
        <v>3241254.56</v>
      </c>
      <c r="E163" s="256">
        <v>84917.5</v>
      </c>
      <c r="F163" s="256">
        <v>56206.89</v>
      </c>
      <c r="G163" s="256">
        <v>28710.61</v>
      </c>
      <c r="H163" s="256">
        <v>14594914.050000001</v>
      </c>
      <c r="I163" s="256">
        <v>3269965.17</v>
      </c>
      <c r="J163" s="257">
        <v>17864879.219999999</v>
      </c>
    </row>
    <row r="164" spans="1:10" x14ac:dyDescent="0.3">
      <c r="A164" s="266" t="s">
        <v>719</v>
      </c>
      <c r="B164" s="265" t="s">
        <v>720</v>
      </c>
      <c r="C164" s="256">
        <v>20237238.09</v>
      </c>
      <c r="D164" s="256">
        <v>4966416.93</v>
      </c>
      <c r="E164" s="256">
        <v>3320720.62</v>
      </c>
      <c r="F164" s="256">
        <v>1927678.45</v>
      </c>
      <c r="G164" s="256">
        <v>1393042.17</v>
      </c>
      <c r="H164" s="256">
        <v>22164916.539999999</v>
      </c>
      <c r="I164" s="256">
        <v>6359459.0999999996</v>
      </c>
      <c r="J164" s="257">
        <v>28524375.640000001</v>
      </c>
    </row>
    <row r="165" spans="1:10" x14ac:dyDescent="0.3">
      <c r="A165" s="267" t="s">
        <v>721</v>
      </c>
      <c r="B165" s="265" t="s">
        <v>722</v>
      </c>
      <c r="C165" s="256">
        <v>18312431.550000001</v>
      </c>
      <c r="D165" s="256">
        <v>4631508.91</v>
      </c>
      <c r="E165" s="256">
        <v>1169189.42</v>
      </c>
      <c r="F165" s="256">
        <v>678714.52</v>
      </c>
      <c r="G165" s="256">
        <v>490474.9</v>
      </c>
      <c r="H165" s="256">
        <v>18991146.07</v>
      </c>
      <c r="I165" s="256">
        <v>5121983.8099999996</v>
      </c>
      <c r="J165" s="257">
        <v>24113129.879999999</v>
      </c>
    </row>
    <row r="166" spans="1:10" x14ac:dyDescent="0.3">
      <c r="A166" s="267" t="s">
        <v>723</v>
      </c>
      <c r="B166" s="265" t="s">
        <v>724</v>
      </c>
      <c r="C166" s="256">
        <v>1186368.21</v>
      </c>
      <c r="D166" s="256">
        <v>334908.02</v>
      </c>
      <c r="E166" s="256">
        <v>2303835.4300000002</v>
      </c>
      <c r="F166" s="256">
        <v>1337376.46</v>
      </c>
      <c r="G166" s="256">
        <v>966458.97</v>
      </c>
      <c r="H166" s="256">
        <v>2523744.67</v>
      </c>
      <c r="I166" s="256">
        <v>1301366.99</v>
      </c>
      <c r="J166" s="257">
        <v>3825111.66</v>
      </c>
    </row>
    <row r="167" spans="1:10" x14ac:dyDescent="0.3">
      <c r="A167" s="267" t="s">
        <v>725</v>
      </c>
      <c r="B167" s="265" t="s">
        <v>941</v>
      </c>
      <c r="C167" s="256">
        <v>0</v>
      </c>
      <c r="D167" s="256">
        <v>0</v>
      </c>
      <c r="E167" s="256">
        <v>346.92</v>
      </c>
      <c r="F167" s="256">
        <v>201.39</v>
      </c>
      <c r="G167" s="256">
        <v>145.53</v>
      </c>
      <c r="H167" s="256">
        <v>201.39</v>
      </c>
      <c r="I167" s="256">
        <v>145.53</v>
      </c>
      <c r="J167" s="257">
        <v>346.92</v>
      </c>
    </row>
    <row r="168" spans="1:10" x14ac:dyDescent="0.3">
      <c r="A168" s="267" t="s">
        <v>726</v>
      </c>
      <c r="B168" s="265" t="s">
        <v>727</v>
      </c>
      <c r="C168" s="256">
        <v>738438.33</v>
      </c>
      <c r="D168" s="256">
        <v>0</v>
      </c>
      <c r="E168" s="256">
        <v>-152651.15</v>
      </c>
      <c r="F168" s="256">
        <v>-88613.92</v>
      </c>
      <c r="G168" s="256">
        <v>-64037.23</v>
      </c>
      <c r="H168" s="256">
        <v>649824.41</v>
      </c>
      <c r="I168" s="256">
        <v>-64037.23</v>
      </c>
      <c r="J168" s="257">
        <v>585787.18000000005</v>
      </c>
    </row>
    <row r="169" spans="1:10" x14ac:dyDescent="0.3">
      <c r="A169" s="266" t="s">
        <v>728</v>
      </c>
      <c r="B169" s="265" t="s">
        <v>729</v>
      </c>
      <c r="C169" s="256">
        <v>80695343.090000004</v>
      </c>
      <c r="D169" s="256">
        <v>15875501.359999999</v>
      </c>
      <c r="E169" s="256"/>
      <c r="F169" s="256"/>
      <c r="G169" s="256"/>
      <c r="H169" s="256">
        <v>80695343.090000004</v>
      </c>
      <c r="I169" s="256">
        <v>15875501.359999999</v>
      </c>
      <c r="J169" s="257">
        <v>96570844.450000003</v>
      </c>
    </row>
    <row r="170" spans="1:10" x14ac:dyDescent="0.3">
      <c r="A170" s="267" t="s">
        <v>730</v>
      </c>
      <c r="B170" s="265" t="s">
        <v>731</v>
      </c>
      <c r="C170" s="256">
        <v>80695343.090000004</v>
      </c>
      <c r="D170" s="256">
        <v>15875501.359999999</v>
      </c>
      <c r="E170" s="256"/>
      <c r="F170" s="256"/>
      <c r="G170" s="256"/>
      <c r="H170" s="256">
        <v>80695343.090000004</v>
      </c>
      <c r="I170" s="256">
        <v>15875501.359999999</v>
      </c>
      <c r="J170" s="257">
        <v>96570844.450000003</v>
      </c>
    </row>
    <row r="171" spans="1:10" x14ac:dyDescent="0.3">
      <c r="A171" s="266" t="s">
        <v>732</v>
      </c>
      <c r="B171" s="265" t="s">
        <v>733</v>
      </c>
      <c r="C171" s="256">
        <v>44566172</v>
      </c>
      <c r="D171" s="256">
        <v>14143848.460000001</v>
      </c>
      <c r="E171" s="256">
        <v>130656718.23</v>
      </c>
      <c r="F171" s="256">
        <v>85657289.640000001</v>
      </c>
      <c r="G171" s="256">
        <v>44999428.590000004</v>
      </c>
      <c r="H171" s="256">
        <v>130223461.64</v>
      </c>
      <c r="I171" s="256">
        <v>59143277.049999997</v>
      </c>
      <c r="J171" s="257">
        <v>189366738.69</v>
      </c>
    </row>
    <row r="172" spans="1:10" x14ac:dyDescent="0.3">
      <c r="A172" s="267" t="s">
        <v>734</v>
      </c>
      <c r="B172" s="265" t="s">
        <v>735</v>
      </c>
      <c r="C172" s="256">
        <v>4836585.09</v>
      </c>
      <c r="D172" s="256">
        <v>728210.73</v>
      </c>
      <c r="E172" s="256">
        <v>70341072.430000007</v>
      </c>
      <c r="F172" s="256">
        <v>46558526.689999998</v>
      </c>
      <c r="G172" s="256">
        <v>23782545.739999998</v>
      </c>
      <c r="H172" s="256">
        <v>51395111.780000001</v>
      </c>
      <c r="I172" s="256">
        <v>24510756.469999999</v>
      </c>
      <c r="J172" s="257">
        <v>75905868.25</v>
      </c>
    </row>
    <row r="173" spans="1:10" x14ac:dyDescent="0.3">
      <c r="A173" s="267" t="s">
        <v>736</v>
      </c>
      <c r="B173" s="265" t="s">
        <v>737</v>
      </c>
      <c r="C173" s="256">
        <v>678589.23</v>
      </c>
      <c r="D173" s="256">
        <v>553924.63</v>
      </c>
      <c r="E173" s="256">
        <v>13336289.949999999</v>
      </c>
      <c r="F173" s="256">
        <v>8827227.25</v>
      </c>
      <c r="G173" s="256">
        <v>4509062.7</v>
      </c>
      <c r="H173" s="256">
        <v>9505816.4800000004</v>
      </c>
      <c r="I173" s="256">
        <v>5062987.33</v>
      </c>
      <c r="J173" s="257">
        <v>14568803.810000001</v>
      </c>
    </row>
    <row r="174" spans="1:10" x14ac:dyDescent="0.3">
      <c r="A174" s="267" t="s">
        <v>738</v>
      </c>
      <c r="B174" s="265" t="s">
        <v>739</v>
      </c>
      <c r="C174" s="256">
        <v>-168912.38</v>
      </c>
      <c r="D174" s="256">
        <v>-86280.9</v>
      </c>
      <c r="E174" s="256">
        <v>-34914234.770000003</v>
      </c>
      <c r="F174" s="256">
        <v>-23109731.98</v>
      </c>
      <c r="G174" s="256">
        <v>-11804502.789999999</v>
      </c>
      <c r="H174" s="256">
        <v>-23278644.359999999</v>
      </c>
      <c r="I174" s="256">
        <v>-11890783.689999999</v>
      </c>
      <c r="J174" s="257">
        <v>-35169428.049999997</v>
      </c>
    </row>
    <row r="175" spans="1:10" x14ac:dyDescent="0.3">
      <c r="A175" s="267" t="s">
        <v>740</v>
      </c>
      <c r="B175" s="265" t="s">
        <v>741</v>
      </c>
      <c r="C175" s="256">
        <v>2019341.67</v>
      </c>
      <c r="D175" s="256">
        <v>-163658.78</v>
      </c>
      <c r="E175" s="256">
        <v>13399087.42</v>
      </c>
      <c r="F175" s="256">
        <v>8870540.8800000008</v>
      </c>
      <c r="G175" s="256">
        <v>4528546.54</v>
      </c>
      <c r="H175" s="256">
        <v>10889882.550000001</v>
      </c>
      <c r="I175" s="256">
        <v>4364887.76</v>
      </c>
      <c r="J175" s="257">
        <v>15254770.310000001</v>
      </c>
    </row>
    <row r="176" spans="1:10" x14ac:dyDescent="0.3">
      <c r="A176" s="267" t="s">
        <v>742</v>
      </c>
      <c r="B176" s="265" t="s">
        <v>743</v>
      </c>
      <c r="C176" s="256">
        <v>4841821.68</v>
      </c>
      <c r="D176" s="256">
        <v>153041.39000000001</v>
      </c>
      <c r="E176" s="256">
        <v>-18719.64</v>
      </c>
      <c r="F176" s="256">
        <v>-11302.94</v>
      </c>
      <c r="G176" s="256">
        <v>-7416.7</v>
      </c>
      <c r="H176" s="256">
        <v>4830518.74</v>
      </c>
      <c r="I176" s="256">
        <v>145624.69</v>
      </c>
      <c r="J176" s="257">
        <v>4976143.43</v>
      </c>
    </row>
    <row r="177" spans="1:10" x14ac:dyDescent="0.3">
      <c r="A177" s="267" t="s">
        <v>744</v>
      </c>
      <c r="B177" s="265" t="s">
        <v>745</v>
      </c>
      <c r="C177" s="256">
        <v>3180107.83</v>
      </c>
      <c r="D177" s="256">
        <v>825378.98</v>
      </c>
      <c r="E177" s="256">
        <v>5555201.8499999996</v>
      </c>
      <c r="F177" s="256">
        <v>3224794.88</v>
      </c>
      <c r="G177" s="256">
        <v>2330406.9700000002</v>
      </c>
      <c r="H177" s="256">
        <v>6404902.71</v>
      </c>
      <c r="I177" s="256">
        <v>3155785.95</v>
      </c>
      <c r="J177" s="257">
        <v>9560688.6600000001</v>
      </c>
    </row>
    <row r="178" spans="1:10" x14ac:dyDescent="0.3">
      <c r="A178" s="267" t="s">
        <v>746</v>
      </c>
      <c r="B178" s="265" t="s">
        <v>747</v>
      </c>
      <c r="C178" s="256">
        <v>19834536.68</v>
      </c>
      <c r="D178" s="256">
        <v>8706053.2200000007</v>
      </c>
      <c r="E178" s="256">
        <v>15389783.6</v>
      </c>
      <c r="F178" s="256">
        <v>9811818.6400000006</v>
      </c>
      <c r="G178" s="256">
        <v>5577964.96</v>
      </c>
      <c r="H178" s="256">
        <v>29646355.32</v>
      </c>
      <c r="I178" s="256">
        <v>14284018.18</v>
      </c>
      <c r="J178" s="257">
        <v>43930373.5</v>
      </c>
    </row>
    <row r="179" spans="1:10" x14ac:dyDescent="0.3">
      <c r="A179" s="267" t="s">
        <v>748</v>
      </c>
      <c r="B179" s="265" t="s">
        <v>749</v>
      </c>
      <c r="C179" s="256">
        <v>7380103.4100000001</v>
      </c>
      <c r="D179" s="256">
        <v>1940741.47</v>
      </c>
      <c r="E179" s="256">
        <v>1838173.98</v>
      </c>
      <c r="F179" s="256">
        <v>1216687.3899999999</v>
      </c>
      <c r="G179" s="256">
        <v>621486.59</v>
      </c>
      <c r="H179" s="256">
        <v>8596790.8000000007</v>
      </c>
      <c r="I179" s="256">
        <v>2562228.06</v>
      </c>
      <c r="J179" s="257">
        <v>11159018.859999999</v>
      </c>
    </row>
    <row r="180" spans="1:10" x14ac:dyDescent="0.3">
      <c r="A180" s="267" t="s">
        <v>896</v>
      </c>
      <c r="B180" s="265" t="s">
        <v>942</v>
      </c>
      <c r="C180" s="256">
        <v>75719.740000000005</v>
      </c>
      <c r="D180" s="256">
        <v>0</v>
      </c>
      <c r="E180" s="256">
        <v>594.6</v>
      </c>
      <c r="F180" s="256">
        <v>393.57</v>
      </c>
      <c r="G180" s="256">
        <v>201.03</v>
      </c>
      <c r="H180" s="256">
        <v>76113.31</v>
      </c>
      <c r="I180" s="256">
        <v>201.03</v>
      </c>
      <c r="J180" s="257">
        <v>76314.34</v>
      </c>
    </row>
    <row r="181" spans="1:10" x14ac:dyDescent="0.3">
      <c r="A181" s="267" t="s">
        <v>750</v>
      </c>
      <c r="B181" s="265" t="s">
        <v>751</v>
      </c>
      <c r="C181" s="256">
        <v>793625.41</v>
      </c>
      <c r="D181" s="256">
        <v>466454.19</v>
      </c>
      <c r="E181" s="256">
        <v>11245803.73</v>
      </c>
      <c r="F181" s="256">
        <v>7443597.4299999997</v>
      </c>
      <c r="G181" s="256">
        <v>3802206.3</v>
      </c>
      <c r="H181" s="256">
        <v>8237222.8399999999</v>
      </c>
      <c r="I181" s="256">
        <v>4268660.49</v>
      </c>
      <c r="J181" s="257">
        <v>12505883.33</v>
      </c>
    </row>
    <row r="182" spans="1:10" x14ac:dyDescent="0.3">
      <c r="A182" s="267" t="s">
        <v>752</v>
      </c>
      <c r="B182" s="265" t="s">
        <v>753</v>
      </c>
      <c r="C182" s="256">
        <v>251326.75</v>
      </c>
      <c r="D182" s="256">
        <v>0</v>
      </c>
      <c r="E182" s="256">
        <v>10405336.310000001</v>
      </c>
      <c r="F182" s="256">
        <v>6887292.1200000001</v>
      </c>
      <c r="G182" s="256">
        <v>3518044.19</v>
      </c>
      <c r="H182" s="256">
        <v>7138618.8700000001</v>
      </c>
      <c r="I182" s="256">
        <v>3518044.19</v>
      </c>
      <c r="J182" s="257">
        <v>10656663.060000001</v>
      </c>
    </row>
    <row r="183" spans="1:10" x14ac:dyDescent="0.3">
      <c r="A183" s="267" t="s">
        <v>754</v>
      </c>
      <c r="B183" s="265" t="s">
        <v>755</v>
      </c>
      <c r="C183" s="256"/>
      <c r="D183" s="256">
        <v>1019983.53</v>
      </c>
      <c r="E183" s="256"/>
      <c r="F183" s="256"/>
      <c r="G183" s="256"/>
      <c r="H183" s="256"/>
      <c r="I183" s="256">
        <v>1019983.53</v>
      </c>
      <c r="J183" s="257">
        <v>1019983.53</v>
      </c>
    </row>
    <row r="184" spans="1:10" x14ac:dyDescent="0.3">
      <c r="A184" s="267" t="s">
        <v>756</v>
      </c>
      <c r="B184" s="265" t="s">
        <v>757</v>
      </c>
      <c r="C184" s="256">
        <v>843326.89</v>
      </c>
      <c r="D184" s="256">
        <v>0</v>
      </c>
      <c r="E184" s="256">
        <v>24078328.77</v>
      </c>
      <c r="F184" s="256">
        <v>15937445.710000001</v>
      </c>
      <c r="G184" s="256">
        <v>8140883.0599999996</v>
      </c>
      <c r="H184" s="256">
        <v>16780772.600000001</v>
      </c>
      <c r="I184" s="256">
        <v>8140883.0599999996</v>
      </c>
      <c r="J184" s="257">
        <v>24921655.66</v>
      </c>
    </row>
    <row r="185" spans="1:10" x14ac:dyDescent="0.3">
      <c r="A185" s="262" t="s">
        <v>758</v>
      </c>
      <c r="B185" s="263" t="s">
        <v>759</v>
      </c>
      <c r="C185" s="256">
        <v>359197262.38999999</v>
      </c>
      <c r="D185" s="256">
        <v>123916149.90000001</v>
      </c>
      <c r="E185" s="256">
        <v>108058534.8</v>
      </c>
      <c r="F185" s="256">
        <v>71523944.209999993</v>
      </c>
      <c r="G185" s="256">
        <v>36534590.590000004</v>
      </c>
      <c r="H185" s="256">
        <v>430721206.60000002</v>
      </c>
      <c r="I185" s="256">
        <v>160450740.49000001</v>
      </c>
      <c r="J185" s="257">
        <v>591171947.09000003</v>
      </c>
    </row>
    <row r="186" spans="1:10" x14ac:dyDescent="0.3">
      <c r="A186" s="266" t="s">
        <v>760</v>
      </c>
      <c r="B186" s="265" t="s">
        <v>761</v>
      </c>
      <c r="C186" s="256">
        <v>334160147.49000001</v>
      </c>
      <c r="D186" s="256">
        <v>115298994.31999999</v>
      </c>
      <c r="E186" s="256">
        <v>28857813.609999999</v>
      </c>
      <c r="F186" s="256">
        <v>19100986.84</v>
      </c>
      <c r="G186" s="256">
        <v>9756826.7699999996</v>
      </c>
      <c r="H186" s="256">
        <v>353261134.32999998</v>
      </c>
      <c r="I186" s="256">
        <v>125055821.09</v>
      </c>
      <c r="J186" s="257">
        <v>478316955.42000002</v>
      </c>
    </row>
    <row r="187" spans="1:10" x14ac:dyDescent="0.3">
      <c r="A187" s="267" t="s">
        <v>762</v>
      </c>
      <c r="B187" s="265" t="s">
        <v>763</v>
      </c>
      <c r="C187" s="256">
        <v>326659699.29000002</v>
      </c>
      <c r="D187" s="256">
        <v>115146400.23</v>
      </c>
      <c r="E187" s="256">
        <v>28807151.82</v>
      </c>
      <c r="F187" s="256">
        <v>19067453.780000001</v>
      </c>
      <c r="G187" s="256">
        <v>9739698.0399999991</v>
      </c>
      <c r="H187" s="256">
        <v>345727153.06999999</v>
      </c>
      <c r="I187" s="256">
        <v>124886098.27</v>
      </c>
      <c r="J187" s="257">
        <v>470613251.33999997</v>
      </c>
    </row>
    <row r="188" spans="1:10" x14ac:dyDescent="0.3">
      <c r="A188" s="267" t="s">
        <v>764</v>
      </c>
      <c r="B188" s="265" t="s">
        <v>765</v>
      </c>
      <c r="C188" s="256">
        <v>7500448.2000000002</v>
      </c>
      <c r="D188" s="256">
        <v>152594.09</v>
      </c>
      <c r="E188" s="256">
        <v>50661.79</v>
      </c>
      <c r="F188" s="256">
        <v>33533.06</v>
      </c>
      <c r="G188" s="256">
        <v>17128.73</v>
      </c>
      <c r="H188" s="256">
        <v>7533981.2599999998</v>
      </c>
      <c r="I188" s="256">
        <v>169722.82</v>
      </c>
      <c r="J188" s="257">
        <v>7703704.0800000001</v>
      </c>
    </row>
    <row r="189" spans="1:10" x14ac:dyDescent="0.3">
      <c r="A189" s="266" t="s">
        <v>766</v>
      </c>
      <c r="B189" s="265" t="s">
        <v>767</v>
      </c>
      <c r="C189" s="256">
        <v>31899957.219999999</v>
      </c>
      <c r="D189" s="256">
        <v>3842096.53</v>
      </c>
      <c r="E189" s="256">
        <v>100867612.19</v>
      </c>
      <c r="F189" s="256">
        <v>66764272.509999998</v>
      </c>
      <c r="G189" s="256">
        <v>34103339.68</v>
      </c>
      <c r="H189" s="256">
        <v>98664229.730000004</v>
      </c>
      <c r="I189" s="256">
        <v>37945436.210000001</v>
      </c>
      <c r="J189" s="257">
        <v>136609665.94</v>
      </c>
    </row>
    <row r="190" spans="1:10" x14ac:dyDescent="0.3">
      <c r="A190" s="267" t="s">
        <v>768</v>
      </c>
      <c r="B190" s="265" t="s">
        <v>769</v>
      </c>
      <c r="C190" s="256">
        <v>16564221.130000001</v>
      </c>
      <c r="D190" s="256">
        <v>0</v>
      </c>
      <c r="E190" s="256">
        <v>100847224.62</v>
      </c>
      <c r="F190" s="256">
        <v>66750777.979999997</v>
      </c>
      <c r="G190" s="256">
        <v>34096446.640000001</v>
      </c>
      <c r="H190" s="256">
        <v>83314999.109999999</v>
      </c>
      <c r="I190" s="256">
        <v>34096446.640000001</v>
      </c>
      <c r="J190" s="257">
        <v>117411445.75</v>
      </c>
    </row>
    <row r="191" spans="1:10" x14ac:dyDescent="0.3">
      <c r="A191" s="267" t="s">
        <v>770</v>
      </c>
      <c r="B191" s="265" t="s">
        <v>771</v>
      </c>
      <c r="C191" s="256">
        <v>11737267.6</v>
      </c>
      <c r="D191" s="256"/>
      <c r="E191" s="256"/>
      <c r="F191" s="256"/>
      <c r="G191" s="256"/>
      <c r="H191" s="256">
        <v>11737267.6</v>
      </c>
      <c r="I191" s="256"/>
      <c r="J191" s="257">
        <v>11737267.6</v>
      </c>
    </row>
    <row r="192" spans="1:10" x14ac:dyDescent="0.3">
      <c r="A192" s="267" t="s">
        <v>772</v>
      </c>
      <c r="B192" s="265" t="s">
        <v>773</v>
      </c>
      <c r="C192" s="256">
        <v>3598468.49</v>
      </c>
      <c r="D192" s="256">
        <v>218322.85</v>
      </c>
      <c r="E192" s="256">
        <v>20387.57</v>
      </c>
      <c r="F192" s="256">
        <v>13494.53</v>
      </c>
      <c r="G192" s="256">
        <v>6893.04</v>
      </c>
      <c r="H192" s="256">
        <v>3611963.02</v>
      </c>
      <c r="I192" s="256">
        <v>225215.89</v>
      </c>
      <c r="J192" s="257">
        <v>3837178.91</v>
      </c>
    </row>
    <row r="193" spans="1:10" x14ac:dyDescent="0.3">
      <c r="A193" s="267" t="s">
        <v>774</v>
      </c>
      <c r="B193" s="265" t="s">
        <v>775</v>
      </c>
      <c r="C193" s="256"/>
      <c r="D193" s="256">
        <v>3623773.68</v>
      </c>
      <c r="E193" s="256"/>
      <c r="F193" s="256"/>
      <c r="G193" s="256"/>
      <c r="H193" s="256"/>
      <c r="I193" s="256">
        <v>3623773.68</v>
      </c>
      <c r="J193" s="257">
        <v>3623773.68</v>
      </c>
    </row>
    <row r="194" spans="1:10" x14ac:dyDescent="0.3">
      <c r="A194" s="266" t="s">
        <v>776</v>
      </c>
      <c r="B194" s="265" t="s">
        <v>777</v>
      </c>
      <c r="C194" s="256">
        <v>31893438.41</v>
      </c>
      <c r="D194" s="256"/>
      <c r="E194" s="256"/>
      <c r="F194" s="256"/>
      <c r="G194" s="256"/>
      <c r="H194" s="256">
        <v>31893438.41</v>
      </c>
      <c r="I194" s="256"/>
      <c r="J194" s="257">
        <v>31893438.41</v>
      </c>
    </row>
    <row r="195" spans="1:10" x14ac:dyDescent="0.3">
      <c r="A195" s="267" t="s">
        <v>778</v>
      </c>
      <c r="B195" s="265" t="s">
        <v>779</v>
      </c>
      <c r="C195" s="256">
        <v>31893438.41</v>
      </c>
      <c r="D195" s="256"/>
      <c r="E195" s="256"/>
      <c r="F195" s="256"/>
      <c r="G195" s="256"/>
      <c r="H195" s="256">
        <v>31893438.41</v>
      </c>
      <c r="I195" s="256"/>
      <c r="J195" s="257">
        <v>31893438.41</v>
      </c>
    </row>
    <row r="196" spans="1:10" x14ac:dyDescent="0.3">
      <c r="A196" s="266" t="s">
        <v>780</v>
      </c>
      <c r="B196" s="265" t="s">
        <v>452</v>
      </c>
      <c r="C196" s="256">
        <v>-42330554.890000001</v>
      </c>
      <c r="D196" s="256">
        <v>4775059.05</v>
      </c>
      <c r="E196" s="256">
        <v>-21666891</v>
      </c>
      <c r="F196" s="256">
        <v>-14341315.140000001</v>
      </c>
      <c r="G196" s="256">
        <v>-7325575.8600000003</v>
      </c>
      <c r="H196" s="256">
        <v>-56671870.030000001</v>
      </c>
      <c r="I196" s="256">
        <v>-2550516.81</v>
      </c>
      <c r="J196" s="257">
        <v>-59222386.840000004</v>
      </c>
    </row>
    <row r="197" spans="1:10" x14ac:dyDescent="0.3">
      <c r="A197" s="267" t="s">
        <v>781</v>
      </c>
      <c r="B197" s="265" t="s">
        <v>782</v>
      </c>
      <c r="C197" s="256">
        <v>8763270.7599999998</v>
      </c>
      <c r="D197" s="256">
        <v>8603273.5199999996</v>
      </c>
      <c r="E197" s="256"/>
      <c r="F197" s="256"/>
      <c r="G197" s="256"/>
      <c r="H197" s="256">
        <v>8763270.7599999998</v>
      </c>
      <c r="I197" s="256">
        <v>8603273.5199999996</v>
      </c>
      <c r="J197" s="257">
        <v>17366544.280000001</v>
      </c>
    </row>
    <row r="198" spans="1:10" x14ac:dyDescent="0.3">
      <c r="A198" s="267" t="s">
        <v>783</v>
      </c>
      <c r="B198" s="265" t="s">
        <v>784</v>
      </c>
      <c r="C198" s="256">
        <v>-50329101.030000001</v>
      </c>
      <c r="D198" s="256">
        <v>-3944520.87</v>
      </c>
      <c r="E198" s="256">
        <v>-21666891</v>
      </c>
      <c r="F198" s="256">
        <v>-14341315.140000001</v>
      </c>
      <c r="G198" s="256">
        <v>-7325575.8600000003</v>
      </c>
      <c r="H198" s="256">
        <v>-64670416.170000002</v>
      </c>
      <c r="I198" s="256">
        <v>-11270096.73</v>
      </c>
      <c r="J198" s="257">
        <v>-75940512.900000006</v>
      </c>
    </row>
    <row r="199" spans="1:10" x14ac:dyDescent="0.3">
      <c r="A199" s="267" t="s">
        <v>785</v>
      </c>
      <c r="B199" s="265" t="s">
        <v>786</v>
      </c>
      <c r="C199" s="256">
        <v>-755388.96</v>
      </c>
      <c r="D199" s="256">
        <v>25985.040000000001</v>
      </c>
      <c r="E199" s="256"/>
      <c r="F199" s="256"/>
      <c r="G199" s="256"/>
      <c r="H199" s="256">
        <v>-755388.96</v>
      </c>
      <c r="I199" s="256">
        <v>25985.040000000001</v>
      </c>
      <c r="J199" s="257">
        <v>-729403.92</v>
      </c>
    </row>
    <row r="200" spans="1:10" x14ac:dyDescent="0.3">
      <c r="A200" s="267" t="s">
        <v>787</v>
      </c>
      <c r="B200" s="265" t="s">
        <v>788</v>
      </c>
      <c r="C200" s="256">
        <v>-8354.4</v>
      </c>
      <c r="D200" s="256">
        <v>90321.36</v>
      </c>
      <c r="E200" s="256"/>
      <c r="F200" s="256"/>
      <c r="G200" s="256"/>
      <c r="H200" s="256">
        <v>-8354.4</v>
      </c>
      <c r="I200" s="256">
        <v>90321.36</v>
      </c>
      <c r="J200" s="257">
        <v>81966.960000000006</v>
      </c>
    </row>
    <row r="201" spans="1:10" x14ac:dyDescent="0.3">
      <c r="A201" s="267" t="s">
        <v>789</v>
      </c>
      <c r="B201" s="265" t="s">
        <v>790</v>
      </c>
      <c r="C201" s="256">
        <v>-981.26</v>
      </c>
      <c r="D201" s="256"/>
      <c r="E201" s="256"/>
      <c r="F201" s="256"/>
      <c r="G201" s="256"/>
      <c r="H201" s="256">
        <v>-981.26</v>
      </c>
      <c r="I201" s="256"/>
      <c r="J201" s="257">
        <v>-981.26</v>
      </c>
    </row>
    <row r="202" spans="1:10" x14ac:dyDescent="0.3">
      <c r="A202" s="266" t="s">
        <v>791</v>
      </c>
      <c r="B202" s="265" t="s">
        <v>792</v>
      </c>
      <c r="C202" s="256">
        <v>3574274.16</v>
      </c>
      <c r="D202" s="256"/>
      <c r="E202" s="256"/>
      <c r="F202" s="256"/>
      <c r="G202" s="256"/>
      <c r="H202" s="256">
        <v>3574274.16</v>
      </c>
      <c r="I202" s="256"/>
      <c r="J202" s="257">
        <v>3574274.16</v>
      </c>
    </row>
    <row r="203" spans="1:10" x14ac:dyDescent="0.3">
      <c r="A203" s="267" t="s">
        <v>793</v>
      </c>
      <c r="B203" s="265" t="s">
        <v>794</v>
      </c>
      <c r="C203" s="256">
        <v>8884629.5999999996</v>
      </c>
      <c r="D203" s="256"/>
      <c r="E203" s="256"/>
      <c r="F203" s="256"/>
      <c r="G203" s="256"/>
      <c r="H203" s="256">
        <v>8884629.5999999996</v>
      </c>
      <c r="I203" s="256"/>
      <c r="J203" s="257">
        <v>8884629.5999999996</v>
      </c>
    </row>
    <row r="204" spans="1:10" x14ac:dyDescent="0.3">
      <c r="A204" s="267" t="s">
        <v>795</v>
      </c>
      <c r="B204" s="265" t="s">
        <v>796</v>
      </c>
      <c r="C204" s="256">
        <v>-5310355.4400000004</v>
      </c>
      <c r="D204" s="256"/>
      <c r="E204" s="256"/>
      <c r="F204" s="256"/>
      <c r="G204" s="256"/>
      <c r="H204" s="256">
        <v>-5310355.4400000004</v>
      </c>
      <c r="I204" s="256"/>
      <c r="J204" s="257">
        <v>-5310355.4400000004</v>
      </c>
    </row>
    <row r="205" spans="1:10" x14ac:dyDescent="0.3">
      <c r="A205" s="262" t="s">
        <v>797</v>
      </c>
      <c r="B205" s="263" t="s">
        <v>798</v>
      </c>
      <c r="C205" s="256">
        <v>228225816.19</v>
      </c>
      <c r="D205" s="256">
        <v>96961906.310000002</v>
      </c>
      <c r="E205" s="256">
        <v>6381188.3700000001</v>
      </c>
      <c r="F205" s="256">
        <v>4109340.23</v>
      </c>
      <c r="G205" s="256">
        <v>2271848.14</v>
      </c>
      <c r="H205" s="256">
        <v>232335156.41999999</v>
      </c>
      <c r="I205" s="256">
        <v>99233754.450000003</v>
      </c>
      <c r="J205" s="257">
        <v>331568910.87</v>
      </c>
    </row>
    <row r="206" spans="1:10" x14ac:dyDescent="0.3">
      <c r="A206" s="264" t="s">
        <v>799</v>
      </c>
      <c r="B206" s="265" t="s">
        <v>800</v>
      </c>
      <c r="C206" s="256">
        <v>228225816.19</v>
      </c>
      <c r="D206" s="256">
        <v>96961906.310000002</v>
      </c>
      <c r="E206" s="256">
        <v>6381188.3700000001</v>
      </c>
      <c r="F206" s="256">
        <v>4109340.23</v>
      </c>
      <c r="G206" s="256">
        <v>2271848.14</v>
      </c>
      <c r="H206" s="256">
        <v>232335156.41999999</v>
      </c>
      <c r="I206" s="256">
        <v>99233754.450000003</v>
      </c>
      <c r="J206" s="257">
        <v>331568910.87</v>
      </c>
    </row>
    <row r="207" spans="1:10" x14ac:dyDescent="0.3">
      <c r="A207" s="262" t="s">
        <v>801</v>
      </c>
      <c r="B207" s="263" t="s">
        <v>802</v>
      </c>
      <c r="C207" s="256">
        <v>31409079.399999999</v>
      </c>
      <c r="D207" s="256">
        <v>33388225.969999999</v>
      </c>
      <c r="E207" s="256"/>
      <c r="F207" s="256"/>
      <c r="G207" s="256"/>
      <c r="H207" s="256">
        <v>31409079.399999999</v>
      </c>
      <c r="I207" s="256">
        <v>33388225.969999999</v>
      </c>
      <c r="J207" s="257">
        <v>64797305.369999997</v>
      </c>
    </row>
    <row r="208" spans="1:10" x14ac:dyDescent="0.3">
      <c r="A208" s="264" t="s">
        <v>897</v>
      </c>
      <c r="B208" s="265" t="s">
        <v>913</v>
      </c>
      <c r="C208" s="256">
        <v>570873.64</v>
      </c>
      <c r="D208" s="256"/>
      <c r="E208" s="256"/>
      <c r="F208" s="256"/>
      <c r="G208" s="256"/>
      <c r="H208" s="256">
        <v>570873.64</v>
      </c>
      <c r="I208" s="256"/>
      <c r="J208" s="257">
        <v>570873.64</v>
      </c>
    </row>
    <row r="209" spans="1:10" x14ac:dyDescent="0.3">
      <c r="A209" s="264" t="s">
        <v>803</v>
      </c>
      <c r="B209" s="265" t="s">
        <v>914</v>
      </c>
      <c r="C209" s="256">
        <v>30838205.760000002</v>
      </c>
      <c r="D209" s="256">
        <v>33388225.969999999</v>
      </c>
      <c r="E209" s="256"/>
      <c r="F209" s="256"/>
      <c r="G209" s="256"/>
      <c r="H209" s="256">
        <v>30838205.760000002</v>
      </c>
      <c r="I209" s="256">
        <v>33388225.969999999</v>
      </c>
      <c r="J209" s="257">
        <v>64226431.729999997</v>
      </c>
    </row>
    <row r="210" spans="1:10" x14ac:dyDescent="0.3">
      <c r="A210" s="262" t="s">
        <v>804</v>
      </c>
      <c r="B210" s="263" t="s">
        <v>805</v>
      </c>
      <c r="C210" s="256">
        <v>28520415.18</v>
      </c>
      <c r="D210" s="256">
        <v>-6381211.9800000004</v>
      </c>
      <c r="E210" s="256"/>
      <c r="F210" s="256"/>
      <c r="G210" s="256"/>
      <c r="H210" s="256">
        <v>28520415.18</v>
      </c>
      <c r="I210" s="256">
        <v>-6381211.9800000004</v>
      </c>
      <c r="J210" s="257">
        <v>22139203.199999999</v>
      </c>
    </row>
    <row r="211" spans="1:10" x14ac:dyDescent="0.3">
      <c r="A211" s="264" t="s">
        <v>806</v>
      </c>
      <c r="B211" s="265" t="s">
        <v>807</v>
      </c>
      <c r="C211" s="256">
        <v>219283109.16</v>
      </c>
      <c r="D211" s="256">
        <v>42754186.710000001</v>
      </c>
      <c r="E211" s="256"/>
      <c r="F211" s="256"/>
      <c r="G211" s="256"/>
      <c r="H211" s="256">
        <v>219283109.16</v>
      </c>
      <c r="I211" s="256">
        <v>42754186.710000001</v>
      </c>
      <c r="J211" s="257">
        <v>262037295.87</v>
      </c>
    </row>
    <row r="212" spans="1:10" x14ac:dyDescent="0.3">
      <c r="A212" s="264" t="s">
        <v>808</v>
      </c>
      <c r="B212" s="265" t="s">
        <v>809</v>
      </c>
      <c r="C212" s="256">
        <v>-190762693.97999999</v>
      </c>
      <c r="D212" s="256">
        <v>-49135398.689999998</v>
      </c>
      <c r="E212" s="256"/>
      <c r="F212" s="256"/>
      <c r="G212" s="256"/>
      <c r="H212" s="256">
        <v>-190762693.97999999</v>
      </c>
      <c r="I212" s="256">
        <v>-49135398.689999998</v>
      </c>
      <c r="J212" s="257">
        <v>-239898092.66999999</v>
      </c>
    </row>
    <row r="213" spans="1:10" x14ac:dyDescent="0.3">
      <c r="A213" s="258" t="s">
        <v>810</v>
      </c>
      <c r="B213" s="259" t="s">
        <v>811</v>
      </c>
      <c r="C213" s="256">
        <v>-10332316.710000001</v>
      </c>
      <c r="D213" s="256">
        <v>-12583364.369999999</v>
      </c>
      <c r="E213" s="256">
        <v>192873563.40000001</v>
      </c>
      <c r="F213" s="256">
        <v>127663011.91</v>
      </c>
      <c r="G213" s="256">
        <v>65210551.490000002</v>
      </c>
      <c r="H213" s="256">
        <v>117330695.2</v>
      </c>
      <c r="I213" s="256">
        <v>52627187.119999997</v>
      </c>
      <c r="J213" s="257">
        <v>169957882.31999999</v>
      </c>
    </row>
    <row r="214" spans="1:10" x14ac:dyDescent="0.3">
      <c r="A214" s="260" t="s">
        <v>812</v>
      </c>
      <c r="B214" s="261" t="s">
        <v>813</v>
      </c>
      <c r="C214" s="256">
        <v>-12156126.35</v>
      </c>
      <c r="D214" s="256">
        <v>-7591258.9299999997</v>
      </c>
      <c r="E214" s="256">
        <v>-39513899.670000002</v>
      </c>
      <c r="F214" s="256">
        <v>-26154249.829999998</v>
      </c>
      <c r="G214" s="256">
        <v>-13359649.84</v>
      </c>
      <c r="H214" s="256">
        <v>-38310376.18</v>
      </c>
      <c r="I214" s="256">
        <v>-20950908.77</v>
      </c>
      <c r="J214" s="257">
        <v>-59261284.950000003</v>
      </c>
    </row>
    <row r="215" spans="1:10" x14ac:dyDescent="0.3">
      <c r="A215" s="268" t="s">
        <v>814</v>
      </c>
      <c r="B215" s="263" t="s">
        <v>815</v>
      </c>
      <c r="C215" s="256">
        <v>640721.18000000005</v>
      </c>
      <c r="D215" s="256">
        <v>0</v>
      </c>
      <c r="E215" s="256">
        <v>1016.67</v>
      </c>
      <c r="F215" s="256">
        <v>672.93</v>
      </c>
      <c r="G215" s="256">
        <v>343.74</v>
      </c>
      <c r="H215" s="256">
        <v>641394.11</v>
      </c>
      <c r="I215" s="256">
        <v>343.74</v>
      </c>
      <c r="J215" s="257">
        <v>641737.85</v>
      </c>
    </row>
    <row r="216" spans="1:10" x14ac:dyDescent="0.3">
      <c r="A216" s="268" t="s">
        <v>816</v>
      </c>
      <c r="B216" s="263" t="s">
        <v>817</v>
      </c>
      <c r="C216" s="256">
        <v>0</v>
      </c>
      <c r="D216" s="256">
        <v>0</v>
      </c>
      <c r="E216" s="256">
        <v>-46288229.130000003</v>
      </c>
      <c r="F216" s="256">
        <v>-30638178.879999999</v>
      </c>
      <c r="G216" s="256">
        <v>-15650050.25</v>
      </c>
      <c r="H216" s="256">
        <v>-30638178.879999999</v>
      </c>
      <c r="I216" s="256">
        <v>-15650050.25</v>
      </c>
      <c r="J216" s="257">
        <v>-46288229.130000003</v>
      </c>
    </row>
    <row r="217" spans="1:10" x14ac:dyDescent="0.3">
      <c r="A217" s="268" t="s">
        <v>818</v>
      </c>
      <c r="B217" s="263" t="s">
        <v>819</v>
      </c>
      <c r="C217" s="256">
        <v>0</v>
      </c>
      <c r="D217" s="256">
        <v>0</v>
      </c>
      <c r="E217" s="256">
        <v>-1500802.86</v>
      </c>
      <c r="F217" s="256">
        <v>-993381.42</v>
      </c>
      <c r="G217" s="256">
        <v>-507421.44</v>
      </c>
      <c r="H217" s="256">
        <v>-993381.42</v>
      </c>
      <c r="I217" s="256">
        <v>-507421.44</v>
      </c>
      <c r="J217" s="257">
        <v>-1500802.86</v>
      </c>
    </row>
    <row r="218" spans="1:10" x14ac:dyDescent="0.3">
      <c r="A218" s="268" t="s">
        <v>820</v>
      </c>
      <c r="B218" s="263" t="s">
        <v>821</v>
      </c>
      <c r="C218" s="256">
        <v>0</v>
      </c>
      <c r="D218" s="256">
        <v>0</v>
      </c>
      <c r="E218" s="256">
        <v>-1149127.58</v>
      </c>
      <c r="F218" s="256">
        <v>-760607.55</v>
      </c>
      <c r="G218" s="256">
        <v>-388520.03</v>
      </c>
      <c r="H218" s="256">
        <v>-760607.55</v>
      </c>
      <c r="I218" s="256">
        <v>-388520.03</v>
      </c>
      <c r="J218" s="257">
        <v>-1149127.58</v>
      </c>
    </row>
    <row r="219" spans="1:10" x14ac:dyDescent="0.3">
      <c r="A219" s="268" t="s">
        <v>822</v>
      </c>
      <c r="B219" s="263" t="s">
        <v>823</v>
      </c>
      <c r="C219" s="256">
        <v>0</v>
      </c>
      <c r="D219" s="256">
        <v>0</v>
      </c>
      <c r="E219" s="256">
        <v>379839.84</v>
      </c>
      <c r="F219" s="256">
        <v>251416.09</v>
      </c>
      <c r="G219" s="256">
        <v>128423.75</v>
      </c>
      <c r="H219" s="256">
        <v>251416.09</v>
      </c>
      <c r="I219" s="256">
        <v>128423.75</v>
      </c>
      <c r="J219" s="257">
        <v>379839.84</v>
      </c>
    </row>
    <row r="220" spans="1:10" x14ac:dyDescent="0.3">
      <c r="A220" s="268" t="s">
        <v>824</v>
      </c>
      <c r="B220" s="263" t="s">
        <v>825</v>
      </c>
      <c r="C220" s="256">
        <v>0</v>
      </c>
      <c r="D220" s="256">
        <v>0</v>
      </c>
      <c r="E220" s="256">
        <v>-27564187.170000002</v>
      </c>
      <c r="F220" s="256">
        <v>-18244735.469999999</v>
      </c>
      <c r="G220" s="256">
        <v>-9319451.6999999993</v>
      </c>
      <c r="H220" s="256">
        <v>-18244735.469999999</v>
      </c>
      <c r="I220" s="256">
        <v>-9319451.6999999993</v>
      </c>
      <c r="J220" s="257">
        <v>-27564187.170000002</v>
      </c>
    </row>
    <row r="221" spans="1:10" x14ac:dyDescent="0.3">
      <c r="A221" s="268" t="s">
        <v>826</v>
      </c>
      <c r="B221" s="263" t="s">
        <v>827</v>
      </c>
      <c r="C221" s="256">
        <v>0</v>
      </c>
      <c r="D221" s="256">
        <v>0</v>
      </c>
      <c r="E221" s="256">
        <v>40474706.07</v>
      </c>
      <c r="F221" s="256">
        <v>26790208</v>
      </c>
      <c r="G221" s="256">
        <v>13684498.07</v>
      </c>
      <c r="H221" s="256">
        <v>26790208</v>
      </c>
      <c r="I221" s="256">
        <v>13684498.07</v>
      </c>
      <c r="J221" s="257">
        <v>40474706.07</v>
      </c>
    </row>
    <row r="222" spans="1:10" x14ac:dyDescent="0.3">
      <c r="A222" s="268" t="s">
        <v>828</v>
      </c>
      <c r="B222" s="263" t="s">
        <v>829</v>
      </c>
      <c r="C222" s="256">
        <v>0</v>
      </c>
      <c r="D222" s="256">
        <v>0</v>
      </c>
      <c r="E222" s="256">
        <v>-47471.7</v>
      </c>
      <c r="F222" s="256">
        <v>-31421.53</v>
      </c>
      <c r="G222" s="256">
        <v>-16050.17</v>
      </c>
      <c r="H222" s="256">
        <v>-31421.53</v>
      </c>
      <c r="I222" s="256">
        <v>-16050.17</v>
      </c>
      <c r="J222" s="257">
        <v>-47471.7</v>
      </c>
    </row>
    <row r="223" spans="1:10" x14ac:dyDescent="0.3">
      <c r="A223" s="268" t="s">
        <v>830</v>
      </c>
      <c r="B223" s="263" t="s">
        <v>943</v>
      </c>
      <c r="C223" s="256">
        <v>0</v>
      </c>
      <c r="D223" s="256">
        <v>0</v>
      </c>
      <c r="E223" s="256">
        <v>535421</v>
      </c>
      <c r="F223" s="256">
        <v>354395.16</v>
      </c>
      <c r="G223" s="256">
        <v>181025.84</v>
      </c>
      <c r="H223" s="256">
        <v>354395.16</v>
      </c>
      <c r="I223" s="256">
        <v>181025.84</v>
      </c>
      <c r="J223" s="257">
        <v>535421</v>
      </c>
    </row>
    <row r="224" spans="1:10" x14ac:dyDescent="0.3">
      <c r="A224" s="268" t="s">
        <v>831</v>
      </c>
      <c r="B224" s="263" t="s">
        <v>832</v>
      </c>
      <c r="C224" s="256">
        <v>847055.62</v>
      </c>
      <c r="D224" s="256">
        <v>310234.01</v>
      </c>
      <c r="E224" s="256">
        <v>-12588546.33</v>
      </c>
      <c r="F224" s="256">
        <v>-8332358.8099999996</v>
      </c>
      <c r="G224" s="256">
        <v>-4256187.5199999996</v>
      </c>
      <c r="H224" s="256">
        <v>-7485303.1900000004</v>
      </c>
      <c r="I224" s="256">
        <v>-3945953.51</v>
      </c>
      <c r="J224" s="257">
        <v>-11431256.699999999</v>
      </c>
    </row>
    <row r="225" spans="1:10" x14ac:dyDescent="0.3">
      <c r="A225" s="268" t="s">
        <v>833</v>
      </c>
      <c r="B225" s="263" t="s">
        <v>834</v>
      </c>
      <c r="C225" s="256">
        <v>-5776317.8399999999</v>
      </c>
      <c r="D225" s="256">
        <v>-8098979.71</v>
      </c>
      <c r="E225" s="256">
        <v>-1926446.29</v>
      </c>
      <c r="F225" s="256">
        <v>-1275114.81</v>
      </c>
      <c r="G225" s="256">
        <v>-651331.48</v>
      </c>
      <c r="H225" s="256">
        <v>-7051432.6500000004</v>
      </c>
      <c r="I225" s="256">
        <v>-8750311.1899999995</v>
      </c>
      <c r="J225" s="257">
        <v>-15801743.84</v>
      </c>
    </row>
    <row r="226" spans="1:10" x14ac:dyDescent="0.3">
      <c r="A226" s="268" t="s">
        <v>835</v>
      </c>
      <c r="B226" s="263" t="s">
        <v>836</v>
      </c>
      <c r="C226" s="256">
        <v>-68920.740000000005</v>
      </c>
      <c r="D226" s="256">
        <v>-1850</v>
      </c>
      <c r="E226" s="256">
        <v>-8556.48</v>
      </c>
      <c r="F226" s="256">
        <v>-5663.51</v>
      </c>
      <c r="G226" s="256">
        <v>-2892.97</v>
      </c>
      <c r="H226" s="256">
        <v>-74584.25</v>
      </c>
      <c r="I226" s="256">
        <v>-4742.97</v>
      </c>
      <c r="J226" s="257">
        <v>-79327.22</v>
      </c>
    </row>
    <row r="227" spans="1:10" x14ac:dyDescent="0.3">
      <c r="A227" s="268" t="s">
        <v>900</v>
      </c>
      <c r="B227" s="263" t="s">
        <v>944</v>
      </c>
      <c r="C227" s="256">
        <v>-63751.040000000001</v>
      </c>
      <c r="D227" s="256"/>
      <c r="E227" s="256"/>
      <c r="F227" s="256"/>
      <c r="G227" s="256"/>
      <c r="H227" s="256">
        <v>-63751.040000000001</v>
      </c>
      <c r="I227" s="256"/>
      <c r="J227" s="257">
        <v>-63751.040000000001</v>
      </c>
    </row>
    <row r="228" spans="1:10" x14ac:dyDescent="0.3">
      <c r="A228" s="268" t="s">
        <v>837</v>
      </c>
      <c r="B228" s="263" t="s">
        <v>838</v>
      </c>
      <c r="C228" s="256">
        <v>-8137110.9199999999</v>
      </c>
      <c r="D228" s="256"/>
      <c r="E228" s="256"/>
      <c r="F228" s="256"/>
      <c r="G228" s="256"/>
      <c r="H228" s="256">
        <v>-8137110.9199999999</v>
      </c>
      <c r="I228" s="256"/>
      <c r="J228" s="257">
        <v>-8137110.9199999999</v>
      </c>
    </row>
    <row r="229" spans="1:10" x14ac:dyDescent="0.3">
      <c r="A229" s="268" t="s">
        <v>839</v>
      </c>
      <c r="B229" s="263" t="s">
        <v>840</v>
      </c>
      <c r="C229" s="256">
        <v>11954.56</v>
      </c>
      <c r="D229" s="256">
        <v>0</v>
      </c>
      <c r="E229" s="256">
        <v>48186.5</v>
      </c>
      <c r="F229" s="256">
        <v>31894.68</v>
      </c>
      <c r="G229" s="256">
        <v>16291.82</v>
      </c>
      <c r="H229" s="256">
        <v>43849.24</v>
      </c>
      <c r="I229" s="256">
        <v>16291.82</v>
      </c>
      <c r="J229" s="257">
        <v>60141.06</v>
      </c>
    </row>
    <row r="230" spans="1:10" x14ac:dyDescent="0.3">
      <c r="A230" s="268" t="s">
        <v>841</v>
      </c>
      <c r="B230" s="263" t="s">
        <v>945</v>
      </c>
      <c r="C230" s="256">
        <v>0</v>
      </c>
      <c r="D230" s="256">
        <v>0</v>
      </c>
      <c r="E230" s="256">
        <v>-1698847.34</v>
      </c>
      <c r="F230" s="256">
        <v>-1124467.05</v>
      </c>
      <c r="G230" s="256">
        <v>-574380.29</v>
      </c>
      <c r="H230" s="256">
        <v>-1124467.05</v>
      </c>
      <c r="I230" s="256">
        <v>-574380.29</v>
      </c>
      <c r="J230" s="257">
        <v>-1698847.34</v>
      </c>
    </row>
    <row r="231" spans="1:10" x14ac:dyDescent="0.3">
      <c r="A231" s="268" t="s">
        <v>842</v>
      </c>
      <c r="B231" s="263" t="s">
        <v>946</v>
      </c>
      <c r="C231" s="256">
        <v>0</v>
      </c>
      <c r="D231" s="256">
        <v>0</v>
      </c>
      <c r="E231" s="256">
        <v>907061.92</v>
      </c>
      <c r="F231" s="256">
        <v>600384.28</v>
      </c>
      <c r="G231" s="256">
        <v>306677.64</v>
      </c>
      <c r="H231" s="256">
        <v>600384.28</v>
      </c>
      <c r="I231" s="256">
        <v>306677.64</v>
      </c>
      <c r="J231" s="257">
        <v>907061.92</v>
      </c>
    </row>
    <row r="232" spans="1:10" x14ac:dyDescent="0.3">
      <c r="A232" s="268" t="s">
        <v>843</v>
      </c>
      <c r="B232" s="263" t="s">
        <v>844</v>
      </c>
      <c r="C232" s="256">
        <v>390242.83</v>
      </c>
      <c r="D232" s="256">
        <v>199336.77</v>
      </c>
      <c r="E232" s="256">
        <v>5239680.01</v>
      </c>
      <c r="F232" s="256">
        <v>3468144.15</v>
      </c>
      <c r="G232" s="256">
        <v>1771535.86</v>
      </c>
      <c r="H232" s="256">
        <v>3858386.98</v>
      </c>
      <c r="I232" s="256">
        <v>1970872.63</v>
      </c>
      <c r="J232" s="257">
        <v>5829259.6100000003</v>
      </c>
    </row>
    <row r="233" spans="1:10" x14ac:dyDescent="0.3">
      <c r="A233" s="268" t="s">
        <v>845</v>
      </c>
      <c r="B233" s="263" t="s">
        <v>846</v>
      </c>
      <c r="C233" s="256">
        <v>0</v>
      </c>
      <c r="D233" s="256">
        <v>0</v>
      </c>
      <c r="E233" s="256">
        <v>5672403.2000000002</v>
      </c>
      <c r="F233" s="256">
        <v>3754563.91</v>
      </c>
      <c r="G233" s="256">
        <v>1917839.29</v>
      </c>
      <c r="H233" s="256">
        <v>3754563.91</v>
      </c>
      <c r="I233" s="256">
        <v>1917839.29</v>
      </c>
      <c r="J233" s="257">
        <v>5672403.2000000002</v>
      </c>
    </row>
    <row r="234" spans="1:10" x14ac:dyDescent="0.3">
      <c r="A234" s="260" t="s">
        <v>847</v>
      </c>
      <c r="B234" s="261" t="s">
        <v>848</v>
      </c>
      <c r="C234" s="256">
        <v>1823809.64</v>
      </c>
      <c r="D234" s="256">
        <v>-4992105.4400000004</v>
      </c>
      <c r="E234" s="256">
        <v>232387463.06999999</v>
      </c>
      <c r="F234" s="256">
        <v>153817261.74000001</v>
      </c>
      <c r="G234" s="256">
        <v>78570201.329999998</v>
      </c>
      <c r="H234" s="256">
        <v>155641071.38</v>
      </c>
      <c r="I234" s="256">
        <v>73578095.890000001</v>
      </c>
      <c r="J234" s="257">
        <v>229219167.27000001</v>
      </c>
    </row>
    <row r="235" spans="1:10" x14ac:dyDescent="0.3">
      <c r="A235" s="268" t="s">
        <v>849</v>
      </c>
      <c r="B235" s="263" t="s">
        <v>850</v>
      </c>
      <c r="C235" s="256">
        <v>0</v>
      </c>
      <c r="D235" s="256">
        <v>0</v>
      </c>
      <c r="E235" s="256">
        <v>217516084</v>
      </c>
      <c r="F235" s="256">
        <v>143973896.06</v>
      </c>
      <c r="G235" s="256">
        <v>73542187.939999998</v>
      </c>
      <c r="H235" s="256">
        <v>143973896.06</v>
      </c>
      <c r="I235" s="256">
        <v>73542187.939999998</v>
      </c>
      <c r="J235" s="257">
        <v>217516084</v>
      </c>
    </row>
    <row r="236" spans="1:10" x14ac:dyDescent="0.3">
      <c r="A236" s="268" t="s">
        <v>851</v>
      </c>
      <c r="B236" s="263" t="s">
        <v>852</v>
      </c>
      <c r="C236" s="256">
        <v>0</v>
      </c>
      <c r="D236" s="256">
        <v>0</v>
      </c>
      <c r="E236" s="256">
        <v>2314664.46</v>
      </c>
      <c r="F236" s="256">
        <v>1532076.29</v>
      </c>
      <c r="G236" s="256">
        <v>782588.17</v>
      </c>
      <c r="H236" s="256">
        <v>1532076.29</v>
      </c>
      <c r="I236" s="256">
        <v>782588.17</v>
      </c>
      <c r="J236" s="257">
        <v>2314664.46</v>
      </c>
    </row>
    <row r="237" spans="1:10" x14ac:dyDescent="0.3">
      <c r="A237" s="268" t="s">
        <v>853</v>
      </c>
      <c r="B237" s="263" t="s">
        <v>854</v>
      </c>
      <c r="C237" s="256">
        <v>9163.51</v>
      </c>
      <c r="D237" s="256">
        <v>5461.07</v>
      </c>
      <c r="E237" s="256">
        <v>2185809.23</v>
      </c>
      <c r="F237" s="256">
        <v>1446787.11</v>
      </c>
      <c r="G237" s="256">
        <v>739022.12</v>
      </c>
      <c r="H237" s="256">
        <v>1455950.62</v>
      </c>
      <c r="I237" s="256">
        <v>744483.19</v>
      </c>
      <c r="J237" s="257">
        <v>2200433.81</v>
      </c>
    </row>
    <row r="238" spans="1:10" x14ac:dyDescent="0.3">
      <c r="A238" s="268" t="s">
        <v>855</v>
      </c>
      <c r="B238" s="263" t="s">
        <v>856</v>
      </c>
      <c r="C238" s="256">
        <v>9095562.4299999997</v>
      </c>
      <c r="D238" s="256">
        <v>256866.82</v>
      </c>
      <c r="E238" s="256">
        <v>12394398.26</v>
      </c>
      <c r="F238" s="256">
        <v>8203852.2000000002</v>
      </c>
      <c r="G238" s="256">
        <v>4190546.06</v>
      </c>
      <c r="H238" s="256">
        <v>17299414.629999999</v>
      </c>
      <c r="I238" s="256">
        <v>4447412.88</v>
      </c>
      <c r="J238" s="257">
        <v>21746827.510000002</v>
      </c>
    </row>
    <row r="239" spans="1:10" x14ac:dyDescent="0.3">
      <c r="A239" s="268" t="s">
        <v>857</v>
      </c>
      <c r="B239" s="263" t="s">
        <v>858</v>
      </c>
      <c r="C239" s="269">
        <v>-7280916.2999999998</v>
      </c>
      <c r="D239" s="269">
        <v>-5254433.33</v>
      </c>
      <c r="E239" s="269">
        <v>-2023492.88</v>
      </c>
      <c r="F239" s="269">
        <v>-1339349.92</v>
      </c>
      <c r="G239" s="269">
        <v>-684142.96</v>
      </c>
      <c r="H239" s="269">
        <v>-8620266.2200000007</v>
      </c>
      <c r="I239" s="269">
        <v>-5938576.29</v>
      </c>
      <c r="J239" s="270">
        <v>-14558842.51</v>
      </c>
    </row>
    <row r="241" spans="1:15" x14ac:dyDescent="0.3">
      <c r="A241" s="268" t="s">
        <v>816</v>
      </c>
      <c r="B241" s="271" t="s">
        <v>817</v>
      </c>
      <c r="C241" s="272">
        <v>0</v>
      </c>
      <c r="D241" s="272">
        <v>0</v>
      </c>
      <c r="E241" s="273">
        <v>154735</v>
      </c>
      <c r="F241" s="274">
        <v>102419.1</v>
      </c>
      <c r="G241" s="274">
        <v>52315.9</v>
      </c>
      <c r="H241" s="275">
        <f>+C241+F241</f>
        <v>102419.1</v>
      </c>
      <c r="I241" s="275">
        <f>+D241+G241</f>
        <v>52315.9</v>
      </c>
      <c r="J241" s="274">
        <f>+H241+I241</f>
        <v>154735</v>
      </c>
      <c r="K241" s="252" t="s">
        <v>916</v>
      </c>
      <c r="L241" s="252">
        <v>4092</v>
      </c>
      <c r="M241" s="252" t="s">
        <v>915</v>
      </c>
      <c r="N241" s="241">
        <v>0.66190000000000004</v>
      </c>
      <c r="O241" s="238">
        <v>0.33810000000000001</v>
      </c>
    </row>
    <row r="242" spans="1:15" x14ac:dyDescent="0.3">
      <c r="A242" s="268" t="s">
        <v>818</v>
      </c>
      <c r="B242" s="271" t="s">
        <v>819</v>
      </c>
      <c r="C242" s="272">
        <v>0</v>
      </c>
      <c r="D242" s="272">
        <v>0</v>
      </c>
      <c r="E242" s="273">
        <v>-11490</v>
      </c>
      <c r="F242" s="274">
        <v>-7605.23</v>
      </c>
      <c r="G242" s="274">
        <v>-3884.77</v>
      </c>
      <c r="H242" s="275">
        <f t="shared" ref="H242:H243" si="0">+C242+F242</f>
        <v>-7605.23</v>
      </c>
      <c r="I242" s="275">
        <f t="shared" ref="I242:I243" si="1">+D242+G242</f>
        <v>-3884.77</v>
      </c>
      <c r="J242" s="274">
        <f t="shared" ref="J242:J243" si="2">+H242+I242</f>
        <v>-11490</v>
      </c>
      <c r="K242" s="252" t="s">
        <v>916</v>
      </c>
      <c r="L242" s="252">
        <v>4102</v>
      </c>
      <c r="M242" s="252" t="s">
        <v>915</v>
      </c>
      <c r="N242" s="241">
        <v>0.66190000000000004</v>
      </c>
      <c r="O242" s="238">
        <v>0.33810000000000001</v>
      </c>
    </row>
    <row r="243" spans="1:15" x14ac:dyDescent="0.3">
      <c r="A243" s="268" t="s">
        <v>845</v>
      </c>
      <c r="B243" s="271" t="s">
        <v>846</v>
      </c>
      <c r="C243" s="272">
        <v>0</v>
      </c>
      <c r="D243" s="272">
        <v>0</v>
      </c>
      <c r="E243" s="273">
        <v>-736834.68</v>
      </c>
      <c r="F243" s="274">
        <v>-487710.87</v>
      </c>
      <c r="G243" s="274">
        <v>-249123.81</v>
      </c>
      <c r="H243" s="275">
        <f t="shared" si="0"/>
        <v>-487710.87</v>
      </c>
      <c r="I243" s="275">
        <f t="shared" si="1"/>
        <v>-249123.81</v>
      </c>
      <c r="J243" s="274">
        <f t="shared" si="2"/>
        <v>-736834.67999999993</v>
      </c>
      <c r="K243" s="252" t="s">
        <v>916</v>
      </c>
      <c r="L243" s="252">
        <v>4267</v>
      </c>
      <c r="M243" s="252" t="s">
        <v>915</v>
      </c>
      <c r="N243" s="241">
        <v>0.66190000000000004</v>
      </c>
      <c r="O243" s="238">
        <v>0.33810000000000001</v>
      </c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B5C7E7D61FC92429EE0C796A4E4EC6C" ma:contentTypeVersion="44" ma:contentTypeDescription="" ma:contentTypeScope="" ma:versionID="f49131f4f79e731ccec6d054d60306f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2020-03-31T07:00:00+00:00</OpenedDate>
    <SignificantOrder xmlns="dc463f71-b30c-4ab2-9473-d307f9d35888">false</SignificantOrder>
    <Date1 xmlns="dc463f71-b30c-4ab2-9473-d307f9d35888">2020-03-31T07:00:00+00:00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200294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0EECBFA-AE57-41C2-A1C3-3EE8A6963EF3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92966706-1FD6-4738-8B3D-10F86354F624}"/>
</file>

<file path=customXml/itemProps3.xml><?xml version="1.0" encoding="utf-8"?>
<ds:datastoreItem xmlns:ds="http://schemas.openxmlformats.org/officeDocument/2006/customXml" ds:itemID="{0E16DD07-1801-47A4-A11E-B736D94C4E99}"/>
</file>

<file path=customXml/itemProps4.xml><?xml version="1.0" encoding="utf-8"?>
<ds:datastoreItem xmlns:ds="http://schemas.openxmlformats.org/officeDocument/2006/customXml" ds:itemID="{44997C4C-EDE4-44A2-954F-F2476F31A842}"/>
</file>

<file path=customXml/itemProps5.xml><?xml version="1.0" encoding="utf-8"?>
<ds:datastoreItem xmlns:ds="http://schemas.openxmlformats.org/officeDocument/2006/customXml" ds:itemID="{4F09B877-2301-4173-BB55-DBE98132F9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Allocated (CBR)</vt:lpstr>
      <vt:lpstr>Unallocated Detail (CBR)</vt:lpstr>
      <vt:lpstr>Unallocated Summary (CBR)</vt:lpstr>
      <vt:lpstr>Common by Account (CBR)</vt:lpstr>
      <vt:lpstr>==&gt;</vt:lpstr>
      <vt:lpstr>Allocators (CBR)</vt:lpstr>
      <vt:lpstr>FM</vt:lpstr>
      <vt:lpstr>SAPCrosstab1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2019-01-31T01:20:07Z</cp:lastPrinted>
  <dcterms:created xsi:type="dcterms:W3CDTF">2017-10-30T16:51:04Z</dcterms:created>
  <dcterms:modified xsi:type="dcterms:W3CDTF">2020-03-25T21:50:53Z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NEW-PSE-Income-Statement 12ME-12-2018-(mm-dd-yy).xlsx</vt:lpwstr>
  </property>
  <property fmtid="{D5CDD505-2E9C-101B-9397-08002B2CF9AE}" pid="3" name="ContentTypeId">
    <vt:lpwstr>0x0101006E56B4D1795A2E4DB2F0B01679ED314A001B5C7E7D61FC92429EE0C796A4E4EC6C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