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_TO_S\PUD0783 - Pullman Disposal Services\Commodity Credit\2020\Filing for April 1\Final Drafts for Submittal\"/>
    </mc:Choice>
  </mc:AlternateContent>
  <bookViews>
    <workbookView xWindow="-24495" yWindow="3750" windowWidth="21600" windowHeight="11385" tabRatio="770"/>
  </bookViews>
  <sheets>
    <sheet name="Analysis" sheetId="13" r:id="rId1"/>
    <sheet name="Aug 19 - Jan 20" sheetId="20" r:id="rId2"/>
    <sheet name="Commodity Debit" sheetId="19" r:id="rId3"/>
    <sheet name="Calcs revised method" sheetId="21" r:id="rId4"/>
  </sheets>
  <externalReferences>
    <externalReference r:id="rId5"/>
  </externalReferences>
  <definedNames>
    <definedName name="BREMAIR_COST_of_SERVICE_STUDY" localSheetId="0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_xlnm.Print_Area" localSheetId="0">Analysis!$G:$L</definedName>
    <definedName name="_xlnm.Print_Area" localSheetId="3">'Calcs revised method'!$A$1:$R$60</definedName>
    <definedName name="_xlnm.Print_Area" localSheetId="2">'Commodity Debit'!$A:$G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 localSheetId="1">#REF!</definedName>
    <definedName name="Print2" localSheetId="2">#REF!</definedName>
    <definedName name="Prin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2" i="13" l="1"/>
  <c r="C14" i="19" l="1"/>
  <c r="G25" i="20" l="1"/>
  <c r="D25" i="20"/>
  <c r="D39" i="13" l="1"/>
  <c r="D38" i="13"/>
  <c r="K20" i="21" l="1"/>
  <c r="D12" i="19"/>
  <c r="I8" i="20" s="1"/>
  <c r="D11" i="19"/>
  <c r="H8" i="20" s="1"/>
  <c r="D18" i="19" l="1"/>
  <c r="D19" i="19"/>
  <c r="D19" i="21"/>
  <c r="G27" i="20" l="1"/>
  <c r="C38" i="13" l="1"/>
  <c r="C39" i="13" l="1"/>
  <c r="E12" i="19"/>
  <c r="E11" i="19" l="1"/>
  <c r="C12" i="13" l="1"/>
  <c r="C11" i="13"/>
  <c r="E11" i="13" s="1"/>
  <c r="O20" i="21"/>
  <c r="N20" i="21"/>
  <c r="M20" i="21"/>
  <c r="L20" i="21"/>
  <c r="J20" i="21"/>
  <c r="R20" i="21" s="1"/>
  <c r="I20" i="21"/>
  <c r="H20" i="21"/>
  <c r="G20" i="21"/>
  <c r="F20" i="21"/>
  <c r="E20" i="21"/>
  <c r="D20" i="21"/>
  <c r="G17" i="21"/>
  <c r="H17" i="21" s="1"/>
  <c r="J8" i="20" l="1"/>
  <c r="I20" i="20" s="1"/>
  <c r="I17" i="21"/>
  <c r="E17" i="21"/>
  <c r="H17" i="20" l="1"/>
  <c r="I19" i="20"/>
  <c r="H20" i="20"/>
  <c r="J20" i="20" s="1"/>
  <c r="H18" i="20"/>
  <c r="H22" i="20"/>
  <c r="I17" i="20"/>
  <c r="I18" i="20"/>
  <c r="I21" i="20"/>
  <c r="H21" i="20"/>
  <c r="I22" i="20"/>
  <c r="H19" i="20"/>
  <c r="I23" i="20" l="1"/>
  <c r="E42" i="13" s="1"/>
  <c r="H23" i="20"/>
  <c r="E23" i="13" s="1"/>
  <c r="J19" i="20"/>
  <c r="J18" i="20"/>
  <c r="E15" i="13"/>
  <c r="J22" i="20"/>
  <c r="J17" i="20"/>
  <c r="J21" i="20"/>
  <c r="E50" i="13" l="1"/>
  <c r="J10" i="21"/>
  <c r="O10" i="21" l="1"/>
  <c r="K10" i="21"/>
  <c r="N10" i="21"/>
  <c r="M10" i="21"/>
  <c r="T14" i="21" s="1"/>
  <c r="L10" i="21"/>
  <c r="R10" i="21" l="1"/>
  <c r="E22" i="20"/>
  <c r="E21" i="20"/>
  <c r="E20" i="20"/>
  <c r="E19" i="20"/>
  <c r="E18" i="20"/>
  <c r="E17" i="20"/>
  <c r="A50" i="13"/>
  <c r="C40" i="13"/>
  <c r="E46" i="13" s="1"/>
  <c r="E51" i="13" s="1"/>
  <c r="F52" i="13" s="1"/>
  <c r="A37" i="13"/>
  <c r="E25" i="20" l="1"/>
  <c r="F20" i="20"/>
  <c r="M14" i="21" s="1"/>
  <c r="M8" i="21"/>
  <c r="F17" i="20"/>
  <c r="J14" i="21" s="1"/>
  <c r="J8" i="21"/>
  <c r="F21" i="20"/>
  <c r="N14" i="21" s="1"/>
  <c r="N8" i="21"/>
  <c r="F18" i="20"/>
  <c r="K14" i="21" s="1"/>
  <c r="K8" i="21"/>
  <c r="K12" i="21" s="1"/>
  <c r="F22" i="20"/>
  <c r="O14" i="21" s="1"/>
  <c r="O8" i="21"/>
  <c r="F19" i="20"/>
  <c r="L14" i="21" s="1"/>
  <c r="L8" i="21"/>
  <c r="K16" i="21" l="1"/>
  <c r="M17" i="21"/>
  <c r="N17" i="21" s="1"/>
  <c r="O17" i="21" s="1"/>
  <c r="J17" i="21"/>
  <c r="E16" i="20"/>
  <c r="E15" i="20"/>
  <c r="E14" i="20"/>
  <c r="E13" i="20"/>
  <c r="E12" i="20"/>
  <c r="E11" i="20"/>
  <c r="K17" i="21" l="1"/>
  <c r="K19" i="21" s="1"/>
  <c r="J19" i="21"/>
  <c r="F12" i="20"/>
  <c r="E14" i="21" s="1"/>
  <c r="E8" i="21"/>
  <c r="F13" i="20"/>
  <c r="F14" i="21" s="1"/>
  <c r="F8" i="21"/>
  <c r="F14" i="20"/>
  <c r="G8" i="21"/>
  <c r="F11" i="20"/>
  <c r="D14" i="21" s="1"/>
  <c r="D8" i="21"/>
  <c r="F15" i="20"/>
  <c r="H8" i="21"/>
  <c r="F16" i="20"/>
  <c r="I14" i="21" s="1"/>
  <c r="I8" i="21"/>
  <c r="G50" i="13"/>
  <c r="I40" i="13"/>
  <c r="K46" i="13" s="1"/>
  <c r="K51" i="13" s="1"/>
  <c r="L52" i="13" s="1"/>
  <c r="K39" i="13"/>
  <c r="K38" i="13"/>
  <c r="G38" i="13"/>
  <c r="G37" i="13"/>
  <c r="G14" i="21" l="1"/>
  <c r="H14" i="21"/>
  <c r="K40" i="13"/>
  <c r="K44" i="13" s="1"/>
  <c r="L48" i="13" s="1"/>
  <c r="L54" i="13" s="1"/>
  <c r="C25" i="20" l="1"/>
  <c r="S50" i="13" l="1"/>
  <c r="U40" i="13"/>
  <c r="W46" i="13" s="1"/>
  <c r="W51" i="13" s="1"/>
  <c r="X52" i="13" s="1"/>
  <c r="W39" i="13"/>
  <c r="W38" i="13"/>
  <c r="S38" i="13"/>
  <c r="S37" i="13"/>
  <c r="W12" i="13"/>
  <c r="U11" i="13"/>
  <c r="U13" i="13" s="1"/>
  <c r="W19" i="13" s="1"/>
  <c r="W40" i="13" l="1"/>
  <c r="W44" i="13" s="1"/>
  <c r="X48" i="13" s="1"/>
  <c r="X54" i="13" s="1"/>
  <c r="X25" i="13"/>
  <c r="X27" i="13" s="1"/>
  <c r="W11" i="13"/>
  <c r="W13" i="13" s="1"/>
  <c r="W17" i="13" s="1"/>
  <c r="X21" i="13" s="1"/>
  <c r="P11" i="13" l="1"/>
  <c r="J11" i="13"/>
  <c r="P12" i="13"/>
  <c r="Q20" i="21" l="1"/>
  <c r="D14" i="19" l="1"/>
  <c r="Q39" i="13" l="1"/>
  <c r="O19" i="21" l="1"/>
  <c r="O21" i="21" s="1"/>
  <c r="O12" i="21" l="1"/>
  <c r="O16" i="21" s="1"/>
  <c r="H12" i="21"/>
  <c r="H16" i="21" s="1"/>
  <c r="H19" i="21"/>
  <c r="H21" i="21" s="1"/>
  <c r="G12" i="21"/>
  <c r="G16" i="21" s="1"/>
  <c r="G19" i="21"/>
  <c r="G21" i="21" s="1"/>
  <c r="I12" i="21"/>
  <c r="I16" i="21" s="1"/>
  <c r="I19" i="21"/>
  <c r="I21" i="21" s="1"/>
  <c r="D12" i="21"/>
  <c r="D16" i="21" s="1"/>
  <c r="D21" i="21"/>
  <c r="F19" i="21"/>
  <c r="F21" i="21" s="1"/>
  <c r="F12" i="21"/>
  <c r="F16" i="21" s="1"/>
  <c r="E12" i="21"/>
  <c r="E16" i="21" s="1"/>
  <c r="E19" i="21"/>
  <c r="E21" i="21" s="1"/>
  <c r="I13" i="13"/>
  <c r="K19" i="13" s="1"/>
  <c r="R25" i="13"/>
  <c r="L25" i="13"/>
  <c r="Q10" i="21"/>
  <c r="N19" i="21"/>
  <c r="N21" i="21" s="1"/>
  <c r="N12" i="21"/>
  <c r="N16" i="21" s="1"/>
  <c r="J12" i="21"/>
  <c r="J16" i="21" s="1"/>
  <c r="K21" i="21"/>
  <c r="M19" i="21"/>
  <c r="M21" i="21" s="1"/>
  <c r="M12" i="21"/>
  <c r="M16" i="21" s="1"/>
  <c r="Q12" i="13"/>
  <c r="L19" i="21"/>
  <c r="L12" i="21"/>
  <c r="L16" i="21" s="1"/>
  <c r="Q19" i="21" l="1"/>
  <c r="R19" i="21"/>
  <c r="E39" i="13"/>
  <c r="J12" i="13"/>
  <c r="E12" i="13"/>
  <c r="C13" i="13"/>
  <c r="E24" i="13" s="1"/>
  <c r="F25" i="13" s="1"/>
  <c r="J21" i="21"/>
  <c r="Q12" i="21"/>
  <c r="Q8" i="21"/>
  <c r="L21" i="21"/>
  <c r="O40" i="13"/>
  <c r="Q46" i="13" s="1"/>
  <c r="Q51" i="13" s="1"/>
  <c r="M50" i="13"/>
  <c r="M38" i="13"/>
  <c r="M37" i="13"/>
  <c r="R21" i="21" l="1"/>
  <c r="E38" i="13"/>
  <c r="E19" i="13"/>
  <c r="Q21" i="21"/>
  <c r="O13" i="13"/>
  <c r="Q19" i="13" s="1"/>
  <c r="E40" i="13" l="1"/>
  <c r="E44" i="13" s="1"/>
  <c r="F48" i="13" s="1"/>
  <c r="F54" i="13" s="1"/>
  <c r="R52" i="13"/>
  <c r="Q38" i="13" l="1"/>
  <c r="Q40" i="13" s="1"/>
  <c r="Q44" i="13" s="1"/>
  <c r="R48" i="13" s="1"/>
  <c r="R54" i="13" s="1"/>
  <c r="Q11" i="13"/>
  <c r="Q13" i="13" s="1"/>
  <c r="Q17" i="13" l="1"/>
  <c r="R21" i="13" l="1"/>
  <c r="R27" i="13" l="1"/>
  <c r="E13" i="13" s="1"/>
  <c r="E17" i="13" s="1"/>
  <c r="F21" i="13" s="1"/>
  <c r="F27" i="13" l="1"/>
  <c r="K11" i="13"/>
  <c r="K12" i="13"/>
  <c r="K13" i="13" l="1"/>
  <c r="K17" i="13" s="1"/>
  <c r="L21" i="13" l="1"/>
  <c r="L27" i="13" l="1"/>
</calcChain>
</file>

<file path=xl/sharedStrings.xml><?xml version="1.0" encoding="utf-8"?>
<sst xmlns="http://schemas.openxmlformats.org/spreadsheetml/2006/main" count="198" uniqueCount="90">
  <si>
    <t xml:space="preserve"> </t>
  </si>
  <si>
    <t>MO/YR</t>
  </si>
  <si>
    <t>CUSTOMERS</t>
  </si>
  <si>
    <t>POUNDS</t>
  </si>
  <si>
    <t>TONS</t>
  </si>
  <si>
    <t>DOLLARS</t>
  </si>
  <si>
    <t>PER TON</t>
  </si>
  <si>
    <t>Customers</t>
  </si>
  <si>
    <t>Totals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</si>
  <si>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</si>
  <si>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</si>
  <si>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</si>
  <si>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</si>
  <si>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</si>
  <si>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</si>
  <si>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</si>
  <si>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</si>
  <si>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</si>
  <si>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</si>
  <si>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Multi-family Commodity Adjustment</t>
  </si>
  <si>
    <t>2018-2019</t>
  </si>
  <si>
    <t>Pullman Disposal Services commodity adjustment</t>
  </si>
  <si>
    <t>Pullman Disposal Services</t>
  </si>
  <si>
    <t>Pullman Disposal Services Residential Curbside</t>
  </si>
  <si>
    <t>Pullman Disposal Services Multi-Family</t>
  </si>
  <si>
    <t>Projected Revenue - NA</t>
  </si>
  <si>
    <t>Type</t>
  </si>
  <si>
    <t>Residential &amp; Multi-Family Commodity Adjustment per 95 gallon toter</t>
  </si>
  <si>
    <t>Residential &amp; Multi Family</t>
  </si>
  <si>
    <t>Projected Revenue Apr 2019 - Sep 2019</t>
  </si>
  <si>
    <t>Multi-Family (DNU)</t>
  </si>
  <si>
    <t xml:space="preserve">Monthly </t>
  </si>
  <si>
    <t>Annual</t>
  </si>
  <si>
    <t>6 months</t>
  </si>
  <si>
    <t>Tonnage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</si>
  <si>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</si>
  <si>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</si>
  <si>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</si>
  <si>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</si>
  <si>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</si>
  <si>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</si>
  <si>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</si>
  <si>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</si>
  <si>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</si>
  <si>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</si>
  <si>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</si>
  <si>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Residential and Multi-Family</t>
  </si>
  <si>
    <t>Oct - Dec 2018 with adjustment factor</t>
  </si>
  <si>
    <t>Jul-Jun projected value without adjustment factor</t>
  </si>
  <si>
    <t>Projected Revenue Oct 2018 - Mar 2019</t>
  </si>
  <si>
    <t>Cost of one time mailing</t>
  </si>
  <si>
    <t>Jan - Sept 2019 with adjustment factor</t>
  </si>
  <si>
    <t>Actual Commodity Revenue Aug 18-Jan19</t>
  </si>
  <si>
    <t>Feb 19</t>
  </si>
  <si>
    <t>Mar 19</t>
  </si>
  <si>
    <t>Apr 19</t>
  </si>
  <si>
    <t>May 19</t>
  </si>
  <si>
    <t>Jun 19</t>
  </si>
  <si>
    <t>Jul 19</t>
  </si>
  <si>
    <t>February 2019 - July 2019</t>
  </si>
  <si>
    <t>Feb - Mar 2019 with adjustment factor</t>
  </si>
  <si>
    <t>Apr - July 2019 with adjustment factor</t>
  </si>
  <si>
    <t>Projected Revenue Oct 2019 - Mar 2020</t>
  </si>
  <si>
    <t>Actual Commodity Revenue Feb-July 2019</t>
  </si>
  <si>
    <t>Aug 19</t>
  </si>
  <si>
    <t>Sept 19</t>
  </si>
  <si>
    <t>Oct 19</t>
  </si>
  <si>
    <t>Nov 19</t>
  </si>
  <si>
    <t>Dec 19</t>
  </si>
  <si>
    <t>Jan 20</t>
  </si>
  <si>
    <t>Feb 20</t>
  </si>
  <si>
    <t>Multi family</t>
  </si>
  <si>
    <t>Actual Commodity Revenue August 2019-February 2020</t>
  </si>
  <si>
    <t xml:space="preserve">Projected Revenue </t>
  </si>
  <si>
    <t>August - September 2019 with adjustment factor</t>
  </si>
  <si>
    <t>October 2019 - January 2020 with adjustment factor</t>
  </si>
  <si>
    <t>Containers/Customers</t>
  </si>
  <si>
    <t>Res</t>
  </si>
  <si>
    <t>Multi</t>
  </si>
  <si>
    <t xml:space="preserve">Multi-Family </t>
  </si>
  <si>
    <t>Projected Revenue April - September 2020</t>
  </si>
  <si>
    <t>Residential Commodity Adjustment per 95 gallon toter</t>
  </si>
  <si>
    <t>Multi-family Commodity Adjustment per 95 gallon toter</t>
  </si>
  <si>
    <t>Pickups</t>
  </si>
  <si>
    <t>How billed</t>
  </si>
  <si>
    <t>per pick-up</t>
  </si>
  <si>
    <t xml:space="preserve">Annual </t>
  </si>
  <si>
    <t>monthly</t>
  </si>
  <si>
    <t>Total Pickups</t>
  </si>
  <si>
    <t>Tons/Container-Customer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</si>
</sst>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mm/dd/yy;@"/>
    <numFmt numFmtId="168" formatCode="[$-409]mmm\-yy;@"/>
    <numFmt numFmtId="169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22" fillId="0" borderId="0"/>
    <xf numFmtId="0" fontId="2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>
      <alignment vertical="top"/>
    </xf>
    <xf numFmtId="0" fontId="24" fillId="0" borderId="0" applyNumberFormat="0" applyBorder="0" applyAlignment="0"/>
    <xf numFmtId="0" fontId="27" fillId="0" borderId="0"/>
    <xf numFmtId="0" fontId="27" fillId="0" borderId="0"/>
    <xf numFmtId="43" fontId="27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3" applyFont="1" applyAlignment="1">
      <alignment horizontal="center"/>
    </xf>
    <xf numFmtId="0" fontId="10" fillId="0" borderId="1" xfId="0" applyFont="1" applyBorder="1" applyAlignment="1">
      <alignment horizontal="center"/>
    </xf>
    <xf numFmtId="43" fontId="9" fillId="0" borderId="1" xfId="3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164" fontId="9" fillId="0" borderId="0" xfId="3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/>
    <xf numFmtId="164" fontId="9" fillId="0" borderId="0" xfId="0" applyNumberFormat="1" applyFont="1" applyAlignment="1">
      <alignment horizontal="center"/>
    </xf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3" fontId="9" fillId="0" borderId="0" xfId="0" applyNumberFormat="1" applyFont="1" applyAlignment="1">
      <alignment horizontal="right"/>
    </xf>
    <xf numFmtId="165" fontId="10" fillId="0" borderId="0" xfId="0" applyNumberFormat="1" applyFont="1"/>
    <xf numFmtId="2" fontId="9" fillId="0" borderId="0" xfId="0" applyNumberFormat="1" applyFont="1" applyAlignment="1">
      <alignment horizontal="right"/>
    </xf>
    <xf numFmtId="0" fontId="12" fillId="2" borderId="3" xfId="23" applyFont="1" applyFill="1" applyBorder="1"/>
    <xf numFmtId="0" fontId="12" fillId="2" borderId="4" xfId="23" applyFont="1" applyFill="1" applyBorder="1"/>
    <xf numFmtId="0" fontId="2" fillId="2" borderId="4" xfId="23" applyFill="1" applyBorder="1"/>
    <xf numFmtId="0" fontId="2" fillId="2" borderId="5" xfId="23" applyFill="1" applyBorder="1"/>
    <xf numFmtId="0" fontId="2" fillId="0" borderId="0" xfId="23"/>
    <xf numFmtId="0" fontId="8" fillId="2" borderId="6" xfId="23" applyFont="1" applyFill="1" applyBorder="1"/>
    <xf numFmtId="0" fontId="8" fillId="2" borderId="0" xfId="23" applyFont="1" applyFill="1" applyBorder="1"/>
    <xf numFmtId="0" fontId="13" fillId="2" borderId="0" xfId="23" applyFont="1" applyFill="1" applyBorder="1"/>
    <xf numFmtId="0" fontId="2" fillId="2" borderId="0" xfId="23" applyFill="1" applyBorder="1"/>
    <xf numFmtId="0" fontId="2" fillId="2" borderId="7" xfId="23" applyFill="1" applyBorder="1"/>
    <xf numFmtId="15" fontId="8" fillId="2" borderId="6" xfId="23" applyNumberFormat="1" applyFont="1" applyFill="1" applyBorder="1"/>
    <xf numFmtId="15" fontId="8" fillId="2" borderId="0" xfId="23" applyNumberFormat="1" applyFont="1" applyFill="1" applyBorder="1"/>
    <xf numFmtId="0" fontId="2" fillId="2" borderId="6" xfId="23" applyFill="1" applyBorder="1"/>
    <xf numFmtId="0" fontId="8" fillId="2" borderId="0" xfId="23" applyFont="1" applyFill="1" applyBorder="1" applyAlignment="1">
      <alignment horizontal="center"/>
    </xf>
    <xf numFmtId="0" fontId="16" fillId="2" borderId="0" xfId="23" applyFont="1" applyFill="1" applyBorder="1" applyAlignment="1">
      <alignment horizontal="center"/>
    </xf>
    <xf numFmtId="0" fontId="17" fillId="2" borderId="8" xfId="23" applyFont="1" applyFill="1" applyBorder="1"/>
    <xf numFmtId="0" fontId="17" fillId="2" borderId="0" xfId="23" applyFont="1" applyFill="1" applyBorder="1"/>
    <xf numFmtId="0" fontId="2" fillId="2" borderId="0" xfId="23" applyFill="1" applyBorder="1" applyAlignment="1">
      <alignment horizontal="center"/>
    </xf>
    <xf numFmtId="41" fontId="2" fillId="2" borderId="0" xfId="23" applyNumberFormat="1" applyFill="1" applyBorder="1"/>
    <xf numFmtId="44" fontId="18" fillId="2" borderId="0" xfId="14" applyFont="1" applyFill="1" applyBorder="1"/>
    <xf numFmtId="0" fontId="2" fillId="2" borderId="6" xfId="23" applyFont="1" applyFill="1" applyBorder="1"/>
    <xf numFmtId="0" fontId="6" fillId="2" borderId="0" xfId="23" applyFont="1" applyFill="1" applyBorder="1"/>
    <xf numFmtId="44" fontId="2" fillId="2" borderId="7" xfId="14" applyFont="1" applyFill="1" applyBorder="1"/>
    <xf numFmtId="44" fontId="19" fillId="2" borderId="7" xfId="14" applyNumberFormat="1" applyFont="1" applyFill="1" applyBorder="1"/>
    <xf numFmtId="44" fontId="20" fillId="2" borderId="9" xfId="14" applyNumberFormat="1" applyFont="1" applyFill="1" applyBorder="1"/>
    <xf numFmtId="44" fontId="20" fillId="2" borderId="9" xfId="14" applyFont="1" applyFill="1" applyBorder="1"/>
    <xf numFmtId="44" fontId="2" fillId="2" borderId="0" xfId="23" applyNumberFormat="1" applyFill="1" applyBorder="1"/>
    <xf numFmtId="44" fontId="21" fillId="2" borderId="7" xfId="23" applyNumberFormat="1" applyFont="1" applyFill="1" applyBorder="1"/>
    <xf numFmtId="0" fontId="8" fillId="2" borderId="2" xfId="23" applyFont="1" applyFill="1" applyBorder="1" applyAlignment="1">
      <alignment horizontal="center"/>
    </xf>
    <xf numFmtId="44" fontId="2" fillId="2" borderId="7" xfId="14" applyNumberFormat="1" applyFont="1" applyFill="1" applyBorder="1"/>
    <xf numFmtId="43" fontId="19" fillId="2" borderId="7" xfId="23" applyNumberFormat="1" applyFont="1" applyFill="1" applyBorder="1"/>
    <xf numFmtId="44" fontId="20" fillId="2" borderId="7" xfId="14" applyFont="1" applyFill="1" applyBorder="1"/>
    <xf numFmtId="0" fontId="2" fillId="2" borderId="10" xfId="23" applyFill="1" applyBorder="1"/>
    <xf numFmtId="0" fontId="2" fillId="2" borderId="11" xfId="23" applyFill="1" applyBorder="1"/>
    <xf numFmtId="0" fontId="2" fillId="2" borderId="12" xfId="23" applyFill="1" applyBorder="1"/>
    <xf numFmtId="0" fontId="12" fillId="0" borderId="0" xfId="23" applyFont="1" applyFill="1" applyBorder="1" applyAlignment="1"/>
    <xf numFmtId="0" fontId="2" fillId="0" borderId="0" xfId="23" applyFill="1" applyBorder="1" applyAlignment="1"/>
    <xf numFmtId="0" fontId="8" fillId="0" borderId="0" xfId="23" applyFont="1" applyFill="1" applyBorder="1" applyAlignment="1"/>
    <xf numFmtId="0" fontId="13" fillId="0" borderId="0" xfId="23" applyFont="1" applyFill="1" applyBorder="1" applyAlignment="1"/>
    <xf numFmtId="15" fontId="8" fillId="0" borderId="0" xfId="23" applyNumberFormat="1" applyFont="1" applyFill="1" applyBorder="1" applyAlignment="1"/>
    <xf numFmtId="0" fontId="14" fillId="0" borderId="0" xfId="23" applyFont="1" applyFill="1" applyBorder="1" applyAlignment="1">
      <alignment horizontal="center"/>
    </xf>
    <xf numFmtId="0" fontId="15" fillId="0" borderId="0" xfId="23" applyFont="1" applyFill="1" applyBorder="1" applyAlignment="1">
      <alignment horizontal="center"/>
    </xf>
    <xf numFmtId="0" fontId="8" fillId="0" borderId="0" xfId="23" applyFont="1" applyFill="1" applyBorder="1" applyAlignment="1">
      <alignment horizontal="center"/>
    </xf>
    <xf numFmtId="0" fontId="16" fillId="0" borderId="0" xfId="23" applyFont="1" applyFill="1" applyBorder="1" applyAlignment="1">
      <alignment horizontal="center"/>
    </xf>
    <xf numFmtId="0" fontId="17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18" fillId="0" borderId="0" xfId="14" applyFont="1" applyFill="1" applyBorder="1" applyAlignment="1"/>
    <xf numFmtId="0" fontId="2" fillId="0" borderId="0" xfId="23" applyFont="1" applyFill="1" applyBorder="1" applyAlignment="1"/>
    <xf numFmtId="0" fontId="6" fillId="0" borderId="0" xfId="23" applyFont="1" applyFill="1" applyBorder="1" applyAlignment="1"/>
    <xf numFmtId="41" fontId="19" fillId="0" borderId="0" xfId="23" applyNumberFormat="1" applyFont="1" applyFill="1" applyBorder="1" applyAlignment="1"/>
    <xf numFmtId="44" fontId="2" fillId="0" borderId="0" xfId="14" applyFont="1" applyFill="1" applyBorder="1" applyAlignment="1"/>
    <xf numFmtId="166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19" fillId="0" borderId="0" xfId="14" applyFont="1" applyFill="1" applyBorder="1" applyAlignment="1"/>
    <xf numFmtId="44" fontId="20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8" fillId="0" borderId="0" xfId="23" applyNumberFormat="1" applyFont="1" applyFill="1" applyBorder="1" applyAlignment="1"/>
    <xf numFmtId="0" fontId="10" fillId="0" borderId="0" xfId="0" applyFont="1" applyFill="1" applyBorder="1" applyAlignment="1">
      <alignment horizontal="left"/>
    </xf>
    <xf numFmtId="39" fontId="0" fillId="0" borderId="0" xfId="0" applyNumberFormat="1"/>
    <xf numFmtId="3" fontId="10" fillId="0" borderId="0" xfId="0" applyNumberFormat="1" applyFont="1" applyAlignment="1"/>
    <xf numFmtId="165" fontId="10" fillId="0" borderId="0" xfId="11" applyNumberFormat="1" applyFont="1" applyFill="1" applyAlignment="1">
      <alignment horizontal="right"/>
    </xf>
    <xf numFmtId="165" fontId="9" fillId="0" borderId="0" xfId="11" applyNumberFormat="1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ill="1"/>
    <xf numFmtId="165" fontId="0" fillId="0" borderId="0" xfId="0" applyNumberFormat="1"/>
    <xf numFmtId="165" fontId="9" fillId="0" borderId="0" xfId="0" quotePrefix="1" applyNumberFormat="1" applyFont="1" applyAlignment="1">
      <alignment horizontal="center"/>
    </xf>
    <xf numFmtId="41" fontId="2" fillId="0" borderId="0" xfId="23" applyNumberFormat="1" applyFill="1" applyBorder="1"/>
    <xf numFmtId="41" fontId="19" fillId="0" borderId="0" xfId="23" applyNumberFormat="1" applyFont="1" applyFill="1" applyBorder="1"/>
    <xf numFmtId="166" fontId="2" fillId="3" borderId="0" xfId="14" applyNumberFormat="1" applyFont="1" applyFill="1" applyBorder="1"/>
    <xf numFmtId="0" fontId="17" fillId="3" borderId="8" xfId="23" applyFont="1" applyFill="1" applyBorder="1"/>
    <xf numFmtId="165" fontId="9" fillId="0" borderId="0" xfId="11" applyNumberFormat="1" applyFont="1" applyFill="1" applyBorder="1" applyAlignment="1">
      <alignment horizontal="right"/>
    </xf>
    <xf numFmtId="165" fontId="9" fillId="0" borderId="2" xfId="11" applyNumberFormat="1" applyFont="1" applyFill="1" applyBorder="1" applyAlignment="1">
      <alignment horizontal="right"/>
    </xf>
    <xf numFmtId="3" fontId="10" fillId="0" borderId="0" xfId="0" applyNumberFormat="1" applyFont="1" applyFill="1" applyAlignment="1"/>
    <xf numFmtId="3" fontId="9" fillId="0" borderId="0" xfId="3" applyNumberFormat="1" applyFont="1" applyFill="1" applyAlignment="1">
      <alignment horizontal="right"/>
    </xf>
    <xf numFmtId="2" fontId="9" fillId="0" borderId="0" xfId="3" applyNumberFormat="1" applyFont="1" applyFill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2" fontId="9" fillId="0" borderId="0" xfId="3" applyNumberFormat="1" applyFont="1" applyFill="1" applyBorder="1" applyAlignment="1">
      <alignment horizontal="right"/>
    </xf>
    <xf numFmtId="165" fontId="10" fillId="0" borderId="0" xfId="11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/>
    <xf numFmtId="3" fontId="9" fillId="0" borderId="2" xfId="3" applyNumberFormat="1" applyFont="1" applyFill="1" applyBorder="1" applyAlignment="1">
      <alignment horizontal="right"/>
    </xf>
    <xf numFmtId="2" fontId="9" fillId="0" borderId="2" xfId="3" applyNumberFormat="1" applyFont="1" applyFill="1" applyBorder="1" applyAlignment="1">
      <alignment horizontal="right"/>
    </xf>
    <xf numFmtId="165" fontId="10" fillId="0" borderId="2" xfId="11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166" fontId="26" fillId="0" borderId="0" xfId="11" applyNumberFormat="1" applyFont="1" applyFill="1" applyBorder="1"/>
    <xf numFmtId="4" fontId="9" fillId="0" borderId="0" xfId="3" applyNumberFormat="1" applyFont="1" applyFill="1" applyAlignment="1">
      <alignment horizontal="right"/>
    </xf>
    <xf numFmtId="0" fontId="26" fillId="0" borderId="0" xfId="0" applyFont="1" applyFill="1" applyBorder="1"/>
    <xf numFmtId="166" fontId="26" fillId="0" borderId="0" xfId="0" applyNumberFormat="1" applyFont="1" applyFill="1" applyBorder="1"/>
    <xf numFmtId="0" fontId="10" fillId="0" borderId="0" xfId="0" applyFont="1" applyFill="1" applyAlignment="1">
      <alignment horizontal="center"/>
    </xf>
    <xf numFmtId="165" fontId="9" fillId="0" borderId="0" xfId="0" applyNumberFormat="1" applyFont="1"/>
    <xf numFmtId="167" fontId="29" fillId="0" borderId="0" xfId="29" applyNumberFormat="1" applyFont="1" applyAlignment="1">
      <alignment horizontal="center"/>
    </xf>
    <xf numFmtId="168" fontId="29" fillId="0" borderId="0" xfId="29" applyNumberFormat="1" applyFont="1" applyAlignment="1">
      <alignment horizontal="center"/>
    </xf>
    <xf numFmtId="0" fontId="28" fillId="0" borderId="0" xfId="29" applyFont="1" applyAlignment="1">
      <alignment horizontal="center"/>
    </xf>
    <xf numFmtId="0" fontId="28" fillId="0" borderId="0" xfId="30" applyFont="1"/>
    <xf numFmtId="0" fontId="27" fillId="0" borderId="0" xfId="29"/>
    <xf numFmtId="0" fontId="27" fillId="0" borderId="0" xfId="30"/>
    <xf numFmtId="0" fontId="28" fillId="0" borderId="0" xfId="29" applyFont="1"/>
    <xf numFmtId="43" fontId="0" fillId="0" borderId="0" xfId="31" applyFont="1"/>
    <xf numFmtId="3" fontId="27" fillId="0" borderId="0" xfId="29" applyNumberFormat="1"/>
    <xf numFmtId="3" fontId="27" fillId="0" borderId="0" xfId="30" applyNumberFormat="1"/>
    <xf numFmtId="169" fontId="0" fillId="0" borderId="0" xfId="31" applyNumberFormat="1" applyFont="1"/>
    <xf numFmtId="169" fontId="27" fillId="0" borderId="0" xfId="29" applyNumberFormat="1"/>
    <xf numFmtId="164" fontId="0" fillId="0" borderId="0" xfId="31" applyNumberFormat="1" applyFont="1"/>
    <xf numFmtId="164" fontId="27" fillId="0" borderId="0" xfId="29" applyNumberFormat="1"/>
    <xf numFmtId="164" fontId="27" fillId="0" borderId="0" xfId="30" applyNumberFormat="1"/>
    <xf numFmtId="43" fontId="27" fillId="0" borderId="0" xfId="29" applyNumberFormat="1"/>
    <xf numFmtId="0" fontId="0" fillId="0" borderId="0" xfId="30" applyFont="1"/>
    <xf numFmtId="0" fontId="0" fillId="0" borderId="0" xfId="29" applyFont="1"/>
    <xf numFmtId="164" fontId="27" fillId="0" borderId="0" xfId="4" applyNumberFormat="1" applyFont="1"/>
    <xf numFmtId="2" fontId="9" fillId="0" borderId="0" xfId="3" applyNumberFormat="1" applyFont="1" applyAlignment="1">
      <alignment horizontal="right"/>
    </xf>
    <xf numFmtId="0" fontId="28" fillId="0" borderId="0" xfId="0" applyFont="1" applyAlignment="1">
      <alignment horizontal="center"/>
    </xf>
    <xf numFmtId="164" fontId="0" fillId="0" borderId="0" xfId="0" applyNumberFormat="1"/>
    <xf numFmtId="0" fontId="30" fillId="0" borderId="0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8" fillId="4" borderId="0" xfId="14" applyFont="1" applyFill="1" applyBorder="1"/>
    <xf numFmtId="164" fontId="2" fillId="2" borderId="0" xfId="3" applyNumberFormat="1" applyFont="1" applyFill="1" applyBorder="1"/>
    <xf numFmtId="0" fontId="27" fillId="0" borderId="0" xfId="29" applyFill="1"/>
    <xf numFmtId="0" fontId="27" fillId="0" borderId="0" xfId="30" applyFill="1"/>
    <xf numFmtId="43" fontId="0" fillId="0" borderId="0" xfId="31" applyFont="1" applyFill="1"/>
    <xf numFmtId="0" fontId="28" fillId="0" borderId="0" xfId="29" applyFont="1" applyFill="1"/>
    <xf numFmtId="3" fontId="27" fillId="0" borderId="0" xfId="29" applyNumberFormat="1" applyFill="1"/>
    <xf numFmtId="3" fontId="27" fillId="0" borderId="0" xfId="30" applyNumberFormat="1" applyFill="1"/>
    <xf numFmtId="169" fontId="0" fillId="0" borderId="0" xfId="31" applyNumberFormat="1" applyFont="1" applyFill="1"/>
    <xf numFmtId="169" fontId="27" fillId="0" borderId="0" xfId="29" applyNumberFormat="1" applyFill="1"/>
    <xf numFmtId="164" fontId="0" fillId="0" borderId="0" xfId="31" applyNumberFormat="1" applyFont="1" applyFill="1"/>
    <xf numFmtId="164" fontId="27" fillId="0" borderId="0" xfId="29" applyNumberFormat="1" applyFill="1"/>
    <xf numFmtId="164" fontId="27" fillId="0" borderId="0" xfId="30" applyNumberFormat="1" applyFill="1"/>
    <xf numFmtId="0" fontId="0" fillId="0" borderId="0" xfId="0" applyFill="1" applyAlignment="1">
      <alignment horizontal="center"/>
    </xf>
    <xf numFmtId="0" fontId="31" fillId="0" borderId="0" xfId="0" applyFont="1" applyFill="1" applyAlignment="1"/>
    <xf numFmtId="164" fontId="2" fillId="0" borderId="0" xfId="3" applyNumberFormat="1" applyFont="1" applyFill="1" applyAlignment="1">
      <alignment horizontal="center"/>
    </xf>
    <xf numFmtId="3" fontId="28" fillId="0" borderId="0" xfId="29" applyNumberFormat="1" applyFont="1"/>
    <xf numFmtId="3" fontId="0" fillId="0" borderId="0" xfId="0" applyNumberFormat="1"/>
    <xf numFmtId="43" fontId="2" fillId="0" borderId="0" xfId="23" applyNumberFormat="1" applyFill="1" applyBorder="1"/>
    <xf numFmtId="0" fontId="17" fillId="4" borderId="8" xfId="23" applyFont="1" applyFill="1" applyBorder="1"/>
    <xf numFmtId="166" fontId="2" fillId="4" borderId="0" xfId="14" applyNumberFormat="1" applyFont="1" applyFill="1" applyBorder="1"/>
    <xf numFmtId="0" fontId="0" fillId="0" borderId="0" xfId="0" applyAlignment="1">
      <alignment horizontal="center"/>
    </xf>
    <xf numFmtId="165" fontId="0" fillId="0" borderId="2" xfId="0" applyNumberFormat="1" applyBorder="1"/>
    <xf numFmtId="164" fontId="0" fillId="0" borderId="0" xfId="0" applyNumberFormat="1" applyFill="1"/>
    <xf numFmtId="43" fontId="27" fillId="0" borderId="0" xfId="29" applyNumberFormat="1" applyFill="1"/>
    <xf numFmtId="164" fontId="27" fillId="0" borderId="0" xfId="4" applyNumberFormat="1" applyFont="1" applyFill="1"/>
    <xf numFmtId="0" fontId="14" fillId="2" borderId="6" xfId="23" applyFont="1" applyFill="1" applyBorder="1" applyAlignment="1">
      <alignment horizontal="center"/>
    </xf>
    <xf numFmtId="0" fontId="14" fillId="2" borderId="0" xfId="23" applyFont="1" applyFill="1" applyBorder="1" applyAlignment="1">
      <alignment horizontal="center"/>
    </xf>
    <xf numFmtId="0" fontId="14" fillId="2" borderId="7" xfId="23" applyFont="1" applyFill="1" applyBorder="1" applyAlignment="1">
      <alignment horizontal="center"/>
    </xf>
    <xf numFmtId="0" fontId="15" fillId="2" borderId="6" xfId="23" applyFont="1" applyFill="1" applyBorder="1" applyAlignment="1">
      <alignment horizontal="center"/>
    </xf>
    <xf numFmtId="0" fontId="15" fillId="2" borderId="0" xfId="23" applyFont="1" applyFill="1" applyBorder="1" applyAlignment="1">
      <alignment horizontal="center"/>
    </xf>
    <xf numFmtId="0" fontId="15" fillId="2" borderId="7" xfId="23" applyFont="1" applyFill="1" applyBorder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2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 9 3" xfId="31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13 3" xfId="29"/>
    <cellStyle name="Normal 2" xfId="21"/>
    <cellStyle name="Normal 2 2" xfId="22"/>
    <cellStyle name="Normal 2 3" xfId="23"/>
    <cellStyle name="Normal 3" xfId="24"/>
    <cellStyle name="Normal 4" xfId="30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_TO_S/PUD0783%20-%20Pullman%20Disposal%20Services/Commodity%20Credit/2018/Submission%20081518/Pullman%20Disposal%20Commodity%20Credit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ll 2017-2018"/>
      <sheetName val="Commodity Debit"/>
    </sheetNames>
    <sheetDataSet>
      <sheetData sheetId="0"/>
      <sheetData sheetId="1">
        <row r="11">
          <cell r="I11"/>
        </row>
        <row r="12">
          <cell r="I12"/>
        </row>
        <row r="13">
          <cell r="I13"/>
        </row>
        <row r="14">
          <cell r="I14"/>
        </row>
        <row r="15">
          <cell r="I15"/>
        </row>
        <row r="16">
          <cell r="I16"/>
        </row>
        <row r="17">
          <cell r="I17"/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tabSelected="1" topLeftCell="A25" zoomScaleNormal="100" workbookViewId="0">
      <selection activeCell="F52" sqref="F52"/>
    </sheetView>
  </sheetViews>
  <sheetFormatPr defaultColWidth="8.85546875" defaultRowHeight="12.75" x14ac:dyDescent="0.2"/>
  <cols>
    <col min="1" max="1" width="40.28515625" style="27" customWidth="1"/>
    <col min="2" max="2" width="6.28515625" style="27" customWidth="1"/>
    <col min="3" max="3" width="12.42578125" style="27" customWidth="1"/>
    <col min="4" max="4" width="14.85546875" style="27" bestFit="1" customWidth="1"/>
    <col min="5" max="5" width="11.140625" style="27" bestFit="1" customWidth="1"/>
    <col min="6" max="6" width="14.42578125" style="27" customWidth="1"/>
    <col min="7" max="7" width="40.28515625" style="27" customWidth="1"/>
    <col min="8" max="8" width="6.28515625" style="27" customWidth="1"/>
    <col min="9" max="9" width="12.42578125" style="27" customWidth="1"/>
    <col min="10" max="10" width="14.85546875" style="27" bestFit="1" customWidth="1"/>
    <col min="11" max="11" width="12.7109375" style="27" customWidth="1"/>
    <col min="12" max="12" width="10.5703125" style="27" bestFit="1" customWidth="1"/>
    <col min="13" max="13" width="40.28515625" style="27" customWidth="1"/>
    <col min="14" max="14" width="6.28515625" style="27" customWidth="1"/>
    <col min="15" max="15" width="12.42578125" style="27" customWidth="1"/>
    <col min="16" max="16" width="14.85546875" style="27" bestFit="1" customWidth="1"/>
    <col min="17" max="17" width="12.7109375" style="27" customWidth="1"/>
    <col min="18" max="18" width="12.7109375" style="27" bestFit="1" customWidth="1"/>
    <col min="19" max="19" width="40.28515625" style="27" customWidth="1"/>
    <col min="20" max="20" width="6.28515625" style="27" customWidth="1"/>
    <col min="21" max="21" width="12.42578125" style="27" customWidth="1"/>
    <col min="22" max="22" width="14.85546875" style="27" bestFit="1" customWidth="1"/>
    <col min="23" max="23" width="12.7109375" style="27" customWidth="1"/>
    <col min="24" max="24" width="10.5703125" style="27" bestFit="1" customWidth="1"/>
    <col min="25" max="25" width="11" style="59" customWidth="1"/>
    <col min="26" max="26" width="41.5703125" style="59" customWidth="1"/>
    <col min="27" max="27" width="10.42578125" style="59" bestFit="1" customWidth="1"/>
    <col min="28" max="28" width="13.42578125" style="59" customWidth="1"/>
    <col min="29" max="29" width="11" style="59" customWidth="1"/>
    <col min="30" max="30" width="11.85546875" style="59" customWidth="1"/>
    <col min="31" max="31" width="35.85546875" style="59" customWidth="1"/>
    <col min="32" max="32" width="8.85546875" style="59"/>
    <col min="33" max="33" width="24.140625" style="59" customWidth="1"/>
    <col min="34" max="34" width="11" style="59" bestFit="1" customWidth="1"/>
    <col min="35" max="35" width="10.5703125" style="59" bestFit="1" customWidth="1"/>
    <col min="36" max="36" width="10.42578125" style="59" customWidth="1"/>
    <col min="37" max="16384" width="8.85546875" style="27"/>
  </cols>
  <sheetData>
    <row r="1" spans="1:36" ht="19.5" customHeight="1" x14ac:dyDescent="0.4">
      <c r="A1" s="23" t="s">
        <v>21</v>
      </c>
      <c r="B1" s="24"/>
      <c r="C1" s="25"/>
      <c r="D1" s="25"/>
      <c r="E1" s="25"/>
      <c r="F1" s="26"/>
      <c r="G1" s="23" t="s">
        <v>21</v>
      </c>
      <c r="H1" s="24"/>
      <c r="I1" s="25"/>
      <c r="J1" s="25"/>
      <c r="K1" s="25"/>
      <c r="L1" s="26"/>
      <c r="M1" s="23" t="s">
        <v>21</v>
      </c>
      <c r="N1" s="24"/>
      <c r="O1" s="25"/>
      <c r="P1" s="25"/>
      <c r="Q1" s="25"/>
      <c r="R1" s="26"/>
      <c r="S1" s="23" t="s">
        <v>21</v>
      </c>
      <c r="T1" s="24"/>
      <c r="U1" s="25"/>
      <c r="V1" s="25"/>
      <c r="W1" s="25"/>
      <c r="X1" s="26"/>
      <c r="Y1" s="58"/>
      <c r="Z1" s="58"/>
      <c r="AE1" s="58"/>
      <c r="AF1" s="58"/>
    </row>
    <row r="2" spans="1:36" ht="18" x14ac:dyDescent="0.35">
      <c r="A2" s="28"/>
      <c r="B2" s="29"/>
      <c r="C2" s="30"/>
      <c r="D2" s="31"/>
      <c r="E2" s="31"/>
      <c r="F2" s="32"/>
      <c r="G2" s="28"/>
      <c r="H2" s="29"/>
      <c r="I2" s="30"/>
      <c r="J2" s="31"/>
      <c r="K2" s="31"/>
      <c r="L2" s="32"/>
      <c r="M2" s="28"/>
      <c r="N2" s="29"/>
      <c r="O2" s="30"/>
      <c r="P2" s="31"/>
      <c r="Q2" s="31"/>
      <c r="R2" s="32"/>
      <c r="S2" s="28"/>
      <c r="T2" s="29"/>
      <c r="U2" s="30"/>
      <c r="V2" s="31"/>
      <c r="W2" s="31"/>
      <c r="X2" s="32"/>
      <c r="Y2" s="60"/>
      <c r="Z2" s="60"/>
      <c r="AA2" s="61"/>
      <c r="AE2" s="60"/>
      <c r="AF2" s="60"/>
      <c r="AG2" s="61"/>
    </row>
    <row r="3" spans="1:36" x14ac:dyDescent="0.2">
      <c r="A3" s="33"/>
      <c r="B3" s="34"/>
      <c r="C3" s="31"/>
      <c r="D3" s="31"/>
      <c r="E3" s="31"/>
      <c r="F3" s="32"/>
      <c r="G3" s="33"/>
      <c r="H3" s="34"/>
      <c r="I3" s="31"/>
      <c r="J3" s="31"/>
      <c r="K3" s="31"/>
      <c r="L3" s="32"/>
      <c r="M3" s="33"/>
      <c r="N3" s="34"/>
      <c r="O3" s="31"/>
      <c r="P3" s="31"/>
      <c r="Q3" s="31"/>
      <c r="R3" s="32"/>
      <c r="S3" s="33"/>
      <c r="T3" s="34"/>
      <c r="U3" s="31"/>
      <c r="V3" s="31"/>
      <c r="W3" s="31"/>
      <c r="X3" s="32"/>
      <c r="Y3" s="62"/>
      <c r="Z3" s="62"/>
      <c r="AE3" s="62"/>
      <c r="AF3" s="62"/>
    </row>
    <row r="4" spans="1:36" ht="20.25" x14ac:dyDescent="0.3">
      <c r="A4" s="167">
        <v>2020</v>
      </c>
      <c r="B4" s="168"/>
      <c r="C4" s="168"/>
      <c r="D4" s="168"/>
      <c r="E4" s="168"/>
      <c r="F4" s="169"/>
      <c r="G4" s="167">
        <v>2019</v>
      </c>
      <c r="H4" s="168"/>
      <c r="I4" s="168"/>
      <c r="J4" s="168"/>
      <c r="K4" s="168"/>
      <c r="L4" s="169"/>
      <c r="M4" s="167">
        <v>2019</v>
      </c>
      <c r="N4" s="168"/>
      <c r="O4" s="168"/>
      <c r="P4" s="168"/>
      <c r="Q4" s="168"/>
      <c r="R4" s="169"/>
      <c r="S4" s="167" t="s">
        <v>20</v>
      </c>
      <c r="T4" s="168"/>
      <c r="U4" s="168"/>
      <c r="V4" s="168"/>
      <c r="W4" s="168"/>
      <c r="X4" s="169"/>
      <c r="Z4" s="63"/>
      <c r="AA4" s="63"/>
      <c r="AB4" s="63"/>
      <c r="AC4" s="63"/>
      <c r="AF4" s="63"/>
      <c r="AG4" s="63"/>
      <c r="AH4" s="63"/>
      <c r="AI4" s="63"/>
    </row>
    <row r="5" spans="1:36" x14ac:dyDescent="0.2">
      <c r="A5" s="35"/>
      <c r="B5" s="31"/>
      <c r="C5" s="31"/>
      <c r="D5" s="31"/>
      <c r="E5" s="31"/>
      <c r="F5" s="32"/>
      <c r="G5" s="35"/>
      <c r="H5" s="31"/>
      <c r="I5" s="31"/>
      <c r="J5" s="31"/>
      <c r="K5" s="31"/>
      <c r="L5" s="32"/>
      <c r="M5" s="35"/>
      <c r="N5" s="31"/>
      <c r="O5" s="31"/>
      <c r="P5" s="31"/>
      <c r="Q5" s="31"/>
      <c r="R5" s="32"/>
      <c r="S5" s="35"/>
      <c r="T5" s="31"/>
      <c r="U5" s="31"/>
      <c r="V5" s="31"/>
      <c r="W5" s="31"/>
      <c r="X5" s="32"/>
    </row>
    <row r="6" spans="1:36" ht="19.5" x14ac:dyDescent="0.4">
      <c r="A6" s="170" t="s">
        <v>28</v>
      </c>
      <c r="B6" s="171"/>
      <c r="C6" s="171"/>
      <c r="D6" s="171"/>
      <c r="E6" s="171"/>
      <c r="F6" s="172"/>
      <c r="G6" s="170" t="s">
        <v>28</v>
      </c>
      <c r="H6" s="171"/>
      <c r="I6" s="171"/>
      <c r="J6" s="171"/>
      <c r="K6" s="171"/>
      <c r="L6" s="172"/>
      <c r="M6" s="170" t="s">
        <v>28</v>
      </c>
      <c r="N6" s="171"/>
      <c r="O6" s="171"/>
      <c r="P6" s="171"/>
      <c r="Q6" s="171"/>
      <c r="R6" s="172"/>
      <c r="S6" s="170" t="s">
        <v>28</v>
      </c>
      <c r="T6" s="171"/>
      <c r="U6" s="171"/>
      <c r="V6" s="171"/>
      <c r="W6" s="171"/>
      <c r="X6" s="172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</row>
    <row r="7" spans="1:36" x14ac:dyDescent="0.2">
      <c r="A7" s="35"/>
      <c r="B7" s="31"/>
      <c r="C7" s="31"/>
      <c r="D7" s="31"/>
      <c r="E7" s="31"/>
      <c r="F7" s="32"/>
      <c r="G7" s="35"/>
      <c r="H7" s="31"/>
      <c r="I7" s="31"/>
      <c r="J7" s="31"/>
      <c r="K7" s="31"/>
      <c r="L7" s="32"/>
      <c r="M7" s="35"/>
      <c r="N7" s="31"/>
      <c r="O7" s="31"/>
      <c r="P7" s="31"/>
      <c r="Q7" s="31"/>
      <c r="R7" s="32"/>
      <c r="S7" s="35"/>
      <c r="T7" s="31"/>
      <c r="U7" s="31"/>
      <c r="V7" s="31"/>
      <c r="W7" s="31"/>
      <c r="X7" s="32"/>
    </row>
    <row r="8" spans="1:36" x14ac:dyDescent="0.2">
      <c r="A8" s="35"/>
      <c r="B8" s="31"/>
      <c r="C8" s="36"/>
      <c r="D8" s="36" t="s">
        <v>10</v>
      </c>
      <c r="E8" s="36" t="s">
        <v>11</v>
      </c>
      <c r="F8" s="32"/>
      <c r="G8" s="35"/>
      <c r="H8" s="31"/>
      <c r="I8" s="36"/>
      <c r="J8" s="36" t="s">
        <v>10</v>
      </c>
      <c r="K8" s="36" t="s">
        <v>11</v>
      </c>
      <c r="L8" s="32"/>
      <c r="M8" s="35"/>
      <c r="N8" s="31"/>
      <c r="O8" s="36"/>
      <c r="P8" s="36" t="s">
        <v>10</v>
      </c>
      <c r="Q8" s="36" t="s">
        <v>11</v>
      </c>
      <c r="R8" s="32"/>
      <c r="S8" s="35"/>
      <c r="T8" s="31"/>
      <c r="U8" s="36"/>
      <c r="V8" s="36" t="s">
        <v>10</v>
      </c>
      <c r="W8" s="36" t="s">
        <v>11</v>
      </c>
      <c r="X8" s="32"/>
      <c r="AA8" s="65"/>
      <c r="AB8" s="65"/>
      <c r="AC8" s="65"/>
      <c r="AG8" s="65"/>
      <c r="AH8" s="65"/>
      <c r="AI8" s="65"/>
    </row>
    <row r="9" spans="1:36" x14ac:dyDescent="0.2">
      <c r="A9" s="35"/>
      <c r="B9" s="31"/>
      <c r="C9" s="37" t="s">
        <v>7</v>
      </c>
      <c r="D9" s="37" t="s">
        <v>12</v>
      </c>
      <c r="E9" s="37" t="s">
        <v>13</v>
      </c>
      <c r="F9" s="32"/>
      <c r="G9" s="35"/>
      <c r="H9" s="31"/>
      <c r="I9" s="37" t="s">
        <v>7</v>
      </c>
      <c r="J9" s="37" t="s">
        <v>12</v>
      </c>
      <c r="K9" s="37" t="s">
        <v>13</v>
      </c>
      <c r="L9" s="32"/>
      <c r="M9" s="35"/>
      <c r="N9" s="31"/>
      <c r="O9" s="37" t="s">
        <v>7</v>
      </c>
      <c r="P9" s="37" t="s">
        <v>12</v>
      </c>
      <c r="Q9" s="37" t="s">
        <v>13</v>
      </c>
      <c r="R9" s="32"/>
      <c r="S9" s="35"/>
      <c r="T9" s="31"/>
      <c r="U9" s="37" t="s">
        <v>7</v>
      </c>
      <c r="V9" s="37" t="s">
        <v>12</v>
      </c>
      <c r="W9" s="37" t="s">
        <v>13</v>
      </c>
      <c r="X9" s="32"/>
      <c r="AA9" s="66"/>
      <c r="AB9" s="66"/>
      <c r="AC9" s="66"/>
      <c r="AG9" s="66"/>
      <c r="AH9" s="66"/>
      <c r="AI9" s="66"/>
    </row>
    <row r="10" spans="1:36" ht="16.5" x14ac:dyDescent="0.35">
      <c r="A10" s="38" t="s">
        <v>73</v>
      </c>
      <c r="B10" s="39"/>
      <c r="C10" s="40"/>
      <c r="D10" s="40"/>
      <c r="E10" s="40"/>
      <c r="F10" s="32"/>
      <c r="G10" s="38" t="s">
        <v>25</v>
      </c>
      <c r="H10" s="39"/>
      <c r="I10" s="40"/>
      <c r="J10" s="40"/>
      <c r="K10" s="40"/>
      <c r="L10" s="32"/>
      <c r="M10" s="38" t="s">
        <v>25</v>
      </c>
      <c r="N10" s="39"/>
      <c r="O10" s="40"/>
      <c r="P10" s="40"/>
      <c r="Q10" s="40"/>
      <c r="R10" s="32"/>
      <c r="S10" s="38" t="s">
        <v>25</v>
      </c>
      <c r="T10" s="39"/>
      <c r="U10" s="40"/>
      <c r="V10" s="40"/>
      <c r="W10" s="40"/>
      <c r="X10" s="32"/>
      <c r="Y10" s="67"/>
      <c r="Z10" s="67"/>
      <c r="AA10" s="68"/>
      <c r="AB10" s="68"/>
      <c r="AC10" s="68"/>
      <c r="AE10" s="67"/>
      <c r="AF10" s="67"/>
      <c r="AG10" s="68"/>
      <c r="AH10" s="68"/>
      <c r="AI10" s="68"/>
    </row>
    <row r="11" spans="1:36" x14ac:dyDescent="0.2">
      <c r="A11" s="35" t="s">
        <v>74</v>
      </c>
      <c r="B11" s="31"/>
      <c r="C11" s="93">
        <f>+'Commodity Debit'!C11*2</f>
        <v>10282</v>
      </c>
      <c r="D11" s="141">
        <v>-1.47</v>
      </c>
      <c r="E11" s="41">
        <f>C11*D11</f>
        <v>-15114.539999999999</v>
      </c>
      <c r="F11" s="32"/>
      <c r="G11" s="35" t="s">
        <v>60</v>
      </c>
      <c r="H11" s="31"/>
      <c r="I11" s="93">
        <v>15485</v>
      </c>
      <c r="J11" s="141">
        <f>ROUND(X27,2)</f>
        <v>-1.59</v>
      </c>
      <c r="K11" s="41">
        <f>I11*J11</f>
        <v>-24621.15</v>
      </c>
      <c r="L11" s="32"/>
      <c r="M11" s="35" t="s">
        <v>47</v>
      </c>
      <c r="N11" s="31"/>
      <c r="O11" s="93">
        <v>23216</v>
      </c>
      <c r="P11" s="141">
        <f>+X27</f>
        <v>-1.59</v>
      </c>
      <c r="Q11" s="41">
        <f>O11*P11</f>
        <v>-36913.440000000002</v>
      </c>
      <c r="R11" s="32"/>
      <c r="S11" s="35" t="s">
        <v>48</v>
      </c>
      <c r="T11" s="31"/>
      <c r="U11" s="93">
        <f>SUM('[1]All 2017-2018'!I11:I22)</f>
        <v>0</v>
      </c>
      <c r="V11" s="42">
        <v>0</v>
      </c>
      <c r="W11" s="41">
        <f>U11*V11</f>
        <v>0</v>
      </c>
      <c r="X11" s="32"/>
      <c r="AA11" s="69"/>
      <c r="AB11" s="70"/>
      <c r="AC11" s="69"/>
      <c r="AG11" s="69"/>
      <c r="AH11" s="70"/>
      <c r="AI11" s="69"/>
    </row>
    <row r="12" spans="1:36" ht="15" x14ac:dyDescent="0.35">
      <c r="A12" s="43" t="s">
        <v>75</v>
      </c>
      <c r="B12" s="44"/>
      <c r="C12" s="94">
        <f>+'Commodity Debit'!C11*4</f>
        <v>20564</v>
      </c>
      <c r="D12" s="42">
        <v>-1.68</v>
      </c>
      <c r="E12" s="41">
        <f>C12*D12</f>
        <v>-34547.519999999997</v>
      </c>
      <c r="F12" s="32"/>
      <c r="G12" s="43" t="s">
        <v>61</v>
      </c>
      <c r="H12" s="44"/>
      <c r="I12" s="94">
        <v>30971</v>
      </c>
      <c r="J12" s="42">
        <f>+ROUND(R25,2)</f>
        <v>-1.47</v>
      </c>
      <c r="K12" s="41">
        <f>I12*J12</f>
        <v>-45527.37</v>
      </c>
      <c r="L12" s="32"/>
      <c r="M12" s="43" t="s">
        <v>51</v>
      </c>
      <c r="N12" s="44"/>
      <c r="O12" s="94">
        <v>23216</v>
      </c>
      <c r="P12" s="42">
        <f>+X27</f>
        <v>-1.59</v>
      </c>
      <c r="Q12" s="41">
        <f>O12*P12</f>
        <v>-36913.440000000002</v>
      </c>
      <c r="R12" s="32"/>
      <c r="S12" s="43"/>
      <c r="T12" s="44"/>
      <c r="U12" s="94">
        <v>0</v>
      </c>
      <c r="V12" s="42">
        <v>0</v>
      </c>
      <c r="W12" s="41">
        <f>U12*V12</f>
        <v>0</v>
      </c>
      <c r="X12" s="32"/>
      <c r="Y12" s="71"/>
      <c r="Z12" s="72"/>
      <c r="AA12" s="73"/>
      <c r="AB12" s="70"/>
      <c r="AC12" s="73"/>
      <c r="AE12" s="71"/>
      <c r="AF12" s="72"/>
      <c r="AG12" s="73"/>
      <c r="AH12" s="70"/>
      <c r="AI12" s="73"/>
    </row>
    <row r="13" spans="1:36" x14ac:dyDescent="0.2">
      <c r="A13" s="35" t="s">
        <v>11</v>
      </c>
      <c r="B13" s="31"/>
      <c r="C13" s="41">
        <f>SUM(C11:C12)</f>
        <v>30846</v>
      </c>
      <c r="D13" s="41"/>
      <c r="E13" s="41">
        <f>SUM(E11:E12)</f>
        <v>-49662.06</v>
      </c>
      <c r="F13" s="32"/>
      <c r="G13" s="35" t="s">
        <v>11</v>
      </c>
      <c r="H13" s="31"/>
      <c r="I13" s="41">
        <f>SUM(I11:I12)</f>
        <v>46456</v>
      </c>
      <c r="J13" s="41"/>
      <c r="K13" s="41">
        <f>SUM(K11:K12)</f>
        <v>-70148.52</v>
      </c>
      <c r="L13" s="32"/>
      <c r="M13" s="35" t="s">
        <v>11</v>
      </c>
      <c r="N13" s="31"/>
      <c r="O13" s="41">
        <f>SUM(O11:O12)</f>
        <v>46432</v>
      </c>
      <c r="P13" s="41"/>
      <c r="Q13" s="41">
        <f>SUM(Q11:Q12)</f>
        <v>-73826.880000000005</v>
      </c>
      <c r="R13" s="32"/>
      <c r="S13" s="35" t="s">
        <v>11</v>
      </c>
      <c r="T13" s="31"/>
      <c r="U13" s="41">
        <f>SUM(U11:U12)</f>
        <v>0</v>
      </c>
      <c r="V13" s="41"/>
      <c r="W13" s="41">
        <f>SUM(W11:W12)</f>
        <v>0</v>
      </c>
      <c r="X13" s="32"/>
      <c r="AA13" s="69"/>
      <c r="AC13" s="69"/>
      <c r="AG13" s="69"/>
      <c r="AI13" s="69"/>
    </row>
    <row r="14" spans="1:36" x14ac:dyDescent="0.2">
      <c r="A14" s="35"/>
      <c r="B14" s="31"/>
      <c r="C14" s="31"/>
      <c r="D14" s="31"/>
      <c r="E14" s="31"/>
      <c r="F14" s="32"/>
      <c r="G14" s="35"/>
      <c r="H14" s="31"/>
      <c r="I14" s="31"/>
      <c r="J14" s="31"/>
      <c r="K14" s="31"/>
      <c r="L14" s="32"/>
      <c r="M14" s="35"/>
      <c r="N14" s="31"/>
      <c r="O14" s="31"/>
      <c r="P14" s="31"/>
      <c r="Q14" s="31"/>
      <c r="R14" s="32"/>
      <c r="S14" s="35"/>
      <c r="T14" s="31"/>
      <c r="U14" s="31"/>
      <c r="V14" s="31"/>
      <c r="W14" s="31"/>
      <c r="X14" s="32"/>
    </row>
    <row r="15" spans="1:36" x14ac:dyDescent="0.2">
      <c r="A15" s="35" t="s">
        <v>72</v>
      </c>
      <c r="B15" s="31"/>
      <c r="C15" s="31"/>
      <c r="D15" s="31"/>
      <c r="E15" s="93">
        <f>SUM('Aug 19 - Jan 20'!H17:H22)</f>
        <v>-58633.481893040807</v>
      </c>
      <c r="F15" s="32"/>
      <c r="G15" s="35" t="s">
        <v>63</v>
      </c>
      <c r="H15" s="31"/>
      <c r="I15" s="31"/>
      <c r="J15" s="31"/>
      <c r="K15" s="93">
        <v>-78148</v>
      </c>
      <c r="L15" s="32"/>
      <c r="M15" s="35" t="s">
        <v>52</v>
      </c>
      <c r="N15" s="31"/>
      <c r="O15" s="31"/>
      <c r="P15" s="31"/>
      <c r="Q15" s="93">
        <v>-68442</v>
      </c>
      <c r="R15" s="32"/>
      <c r="S15" s="35" t="s">
        <v>14</v>
      </c>
      <c r="T15" s="31"/>
      <c r="U15" s="31"/>
      <c r="V15" s="31"/>
      <c r="W15" s="93">
        <v>-122720</v>
      </c>
      <c r="X15" s="32"/>
      <c r="Y15" s="60"/>
      <c r="AC15" s="69"/>
      <c r="AE15" s="60"/>
      <c r="AI15" s="69"/>
    </row>
    <row r="16" spans="1:36" x14ac:dyDescent="0.2">
      <c r="A16" s="35"/>
      <c r="B16" s="31"/>
      <c r="C16" s="31"/>
      <c r="D16" s="31"/>
      <c r="E16" s="142"/>
      <c r="F16" s="32"/>
      <c r="G16" s="35"/>
      <c r="H16" s="31"/>
      <c r="I16" s="31"/>
      <c r="J16" s="31"/>
      <c r="K16" s="142"/>
      <c r="L16" s="32"/>
      <c r="M16" s="35" t="s">
        <v>50</v>
      </c>
      <c r="N16" s="31"/>
      <c r="O16" s="31"/>
      <c r="P16" s="31"/>
      <c r="Q16" s="142">
        <v>2688</v>
      </c>
      <c r="R16" s="32"/>
      <c r="S16" s="35"/>
      <c r="T16" s="31"/>
      <c r="U16" s="31"/>
      <c r="V16" s="31"/>
      <c r="W16" s="31"/>
      <c r="X16" s="32"/>
    </row>
    <row r="17" spans="1:36" x14ac:dyDescent="0.2">
      <c r="A17" s="35" t="s">
        <v>15</v>
      </c>
      <c r="B17" s="31"/>
      <c r="C17" s="31"/>
      <c r="D17" s="31"/>
      <c r="E17" s="41">
        <f>-E13+E15-E16</f>
        <v>-8971.4218930408097</v>
      </c>
      <c r="F17" s="32"/>
      <c r="G17" s="35" t="s">
        <v>15</v>
      </c>
      <c r="H17" s="31"/>
      <c r="I17" s="31"/>
      <c r="J17" s="31"/>
      <c r="K17" s="41">
        <f>-K13+K15-K16</f>
        <v>-7999.4799999999959</v>
      </c>
      <c r="L17" s="32"/>
      <c r="M17" s="35" t="s">
        <v>15</v>
      </c>
      <c r="N17" s="31"/>
      <c r="O17" s="31"/>
      <c r="P17" s="31"/>
      <c r="Q17" s="41">
        <f>-Q13+Q15-Q16</f>
        <v>2696.8800000000047</v>
      </c>
      <c r="R17" s="32"/>
      <c r="S17" s="35" t="s">
        <v>15</v>
      </c>
      <c r="T17" s="31"/>
      <c r="U17" s="31"/>
      <c r="V17" s="31"/>
      <c r="W17" s="41">
        <f>W15-W13</f>
        <v>-122720</v>
      </c>
      <c r="X17" s="32"/>
      <c r="AC17" s="69"/>
      <c r="AI17" s="69"/>
    </row>
    <row r="18" spans="1:36" x14ac:dyDescent="0.2">
      <c r="A18" s="35"/>
      <c r="B18" s="31"/>
      <c r="C18" s="31"/>
      <c r="D18" s="31"/>
      <c r="E18" s="31"/>
      <c r="F18" s="32"/>
      <c r="G18" s="35"/>
      <c r="H18" s="31"/>
      <c r="I18" s="31"/>
      <c r="J18" s="31"/>
      <c r="K18" s="31"/>
      <c r="L18" s="32"/>
      <c r="M18" s="35"/>
      <c r="N18" s="31"/>
      <c r="O18" s="31"/>
      <c r="P18" s="31"/>
      <c r="Q18" s="31"/>
      <c r="R18" s="32"/>
      <c r="S18" s="35"/>
      <c r="T18" s="31"/>
      <c r="U18" s="31"/>
      <c r="V18" s="31"/>
      <c r="W18" s="31"/>
      <c r="X18" s="32"/>
    </row>
    <row r="19" spans="1:36" x14ac:dyDescent="0.2">
      <c r="A19" s="35" t="s">
        <v>16</v>
      </c>
      <c r="B19" s="31"/>
      <c r="C19" s="31"/>
      <c r="D19" s="31"/>
      <c r="E19" s="41">
        <f>+C13</f>
        <v>30846</v>
      </c>
      <c r="F19" s="32"/>
      <c r="G19" s="35" t="s">
        <v>16</v>
      </c>
      <c r="H19" s="31"/>
      <c r="I19" s="31"/>
      <c r="J19" s="31"/>
      <c r="K19" s="41">
        <f>+I13</f>
        <v>46456</v>
      </c>
      <c r="L19" s="32"/>
      <c r="M19" s="35" t="s">
        <v>16</v>
      </c>
      <c r="N19" s="31"/>
      <c r="O19" s="31"/>
      <c r="P19" s="31"/>
      <c r="Q19" s="41">
        <f>+O13</f>
        <v>46432</v>
      </c>
      <c r="R19" s="32"/>
      <c r="S19" s="35" t="s">
        <v>16</v>
      </c>
      <c r="T19" s="31"/>
      <c r="U19" s="31"/>
      <c r="V19" s="31"/>
      <c r="W19" s="41">
        <f>+U13</f>
        <v>0</v>
      </c>
      <c r="X19" s="32"/>
      <c r="Y19" s="71"/>
      <c r="AC19" s="69"/>
      <c r="AE19" s="71"/>
      <c r="AI19" s="69"/>
    </row>
    <row r="20" spans="1:36" x14ac:dyDescent="0.2">
      <c r="A20" s="35"/>
      <c r="B20" s="31"/>
      <c r="C20" s="31"/>
      <c r="D20" s="31"/>
      <c r="E20" s="31"/>
      <c r="F20" s="32"/>
      <c r="G20" s="35"/>
      <c r="H20" s="31"/>
      <c r="I20" s="31"/>
      <c r="J20" s="31"/>
      <c r="K20" s="31"/>
      <c r="L20" s="32"/>
      <c r="M20" s="35"/>
      <c r="N20" s="31"/>
      <c r="O20" s="31"/>
      <c r="P20" s="31"/>
      <c r="Q20" s="31"/>
      <c r="R20" s="32"/>
      <c r="S20" s="35"/>
      <c r="T20" s="31"/>
      <c r="U20" s="31"/>
      <c r="V20" s="31"/>
      <c r="W20" s="31"/>
      <c r="X20" s="32"/>
    </row>
    <row r="21" spans="1:36" x14ac:dyDescent="0.2">
      <c r="A21" s="35" t="s">
        <v>17</v>
      </c>
      <c r="B21" s="31"/>
      <c r="C21" s="31"/>
      <c r="D21" s="31"/>
      <c r="E21" s="31"/>
      <c r="F21" s="45">
        <f>ROUND((E17/E19),2)</f>
        <v>-0.28999999999999998</v>
      </c>
      <c r="G21" s="35" t="s">
        <v>17</v>
      </c>
      <c r="H21" s="31"/>
      <c r="I21" s="31"/>
      <c r="J21" s="31"/>
      <c r="K21" s="31"/>
      <c r="L21" s="45">
        <f>ROUND((K17/K19),2)</f>
        <v>-0.17</v>
      </c>
      <c r="M21" s="35" t="s">
        <v>17</v>
      </c>
      <c r="N21" s="31"/>
      <c r="O21" s="31"/>
      <c r="P21" s="31"/>
      <c r="Q21" s="31"/>
      <c r="R21" s="45">
        <f>ROUND((Q17/Q19),2)</f>
        <v>0.06</v>
      </c>
      <c r="S21" s="35" t="s">
        <v>17</v>
      </c>
      <c r="T21" s="31"/>
      <c r="U21" s="31"/>
      <c r="V21" s="31"/>
      <c r="W21" s="31"/>
      <c r="X21" s="45" t="e">
        <f>ROUND((W17/W19),2)</f>
        <v>#DIV/0!</v>
      </c>
      <c r="AD21" s="74"/>
      <c r="AJ21" s="74"/>
    </row>
    <row r="22" spans="1:36" x14ac:dyDescent="0.2">
      <c r="A22" s="35"/>
      <c r="B22" s="31"/>
      <c r="C22" s="31"/>
      <c r="D22" s="31"/>
      <c r="E22" s="31"/>
      <c r="F22" s="45"/>
      <c r="G22" s="35"/>
      <c r="H22" s="31"/>
      <c r="I22" s="31"/>
      <c r="J22" s="31"/>
      <c r="K22" s="31"/>
      <c r="L22" s="45"/>
      <c r="M22" s="35"/>
      <c r="N22" s="31"/>
      <c r="O22" s="31"/>
      <c r="P22" s="31"/>
      <c r="Q22" s="31"/>
      <c r="R22" s="45"/>
      <c r="S22" s="35"/>
      <c r="T22" s="31"/>
      <c r="U22" s="31"/>
      <c r="V22" s="31"/>
      <c r="W22" s="31"/>
      <c r="X22" s="45"/>
      <c r="AD22" s="74"/>
      <c r="AJ22" s="74"/>
    </row>
    <row r="23" spans="1:36" ht="16.5" x14ac:dyDescent="0.35">
      <c r="A23" s="38" t="s">
        <v>80</v>
      </c>
      <c r="B23" s="39"/>
      <c r="C23" s="31"/>
      <c r="D23" s="31"/>
      <c r="E23" s="93">
        <f>+'Aug 19 - Jan 20'!H23</f>
        <v>-58633.481893040807</v>
      </c>
      <c r="F23" s="45"/>
      <c r="G23" s="38" t="s">
        <v>62</v>
      </c>
      <c r="H23" s="39"/>
      <c r="I23" s="31"/>
      <c r="J23" s="31"/>
      <c r="K23" s="93">
        <v>-78148</v>
      </c>
      <c r="L23" s="45"/>
      <c r="M23" s="38" t="s">
        <v>29</v>
      </c>
      <c r="N23" s="39"/>
      <c r="O23" s="31"/>
      <c r="P23" s="31"/>
      <c r="Q23" s="93">
        <v>-68442</v>
      </c>
      <c r="R23" s="45"/>
      <c r="S23" s="96" t="s">
        <v>49</v>
      </c>
      <c r="T23" s="39"/>
      <c r="U23" s="31"/>
      <c r="V23" s="31"/>
      <c r="W23" s="95">
        <v>-73974</v>
      </c>
      <c r="X23" s="45"/>
      <c r="Y23" s="67"/>
      <c r="Z23" s="67"/>
      <c r="AC23" s="75"/>
      <c r="AD23" s="74"/>
      <c r="AE23" s="67"/>
      <c r="AF23" s="67"/>
      <c r="AI23" s="76"/>
      <c r="AJ23" s="74"/>
    </row>
    <row r="24" spans="1:36" x14ac:dyDescent="0.2">
      <c r="A24" s="35" t="s">
        <v>16</v>
      </c>
      <c r="B24" s="31"/>
      <c r="C24" s="31"/>
      <c r="D24" s="31"/>
      <c r="E24" s="159">
        <f>+C13</f>
        <v>30846</v>
      </c>
      <c r="F24" s="45"/>
      <c r="G24" s="35" t="s">
        <v>16</v>
      </c>
      <c r="H24" s="31"/>
      <c r="I24" s="31"/>
      <c r="J24" s="31"/>
      <c r="K24" s="93">
        <v>46456</v>
      </c>
      <c r="L24" s="45"/>
      <c r="M24" s="35" t="s">
        <v>16</v>
      </c>
      <c r="N24" s="31"/>
      <c r="O24" s="31"/>
      <c r="P24" s="31"/>
      <c r="Q24" s="93">
        <v>46432</v>
      </c>
      <c r="R24" s="45"/>
      <c r="S24" s="35" t="s">
        <v>16</v>
      </c>
      <c r="T24" s="31"/>
      <c r="U24" s="31"/>
      <c r="V24" s="31"/>
      <c r="W24" s="41">
        <v>46432</v>
      </c>
      <c r="X24" s="45"/>
      <c r="AC24" s="69"/>
      <c r="AD24" s="74"/>
      <c r="AI24" s="69"/>
      <c r="AJ24" s="74"/>
    </row>
    <row r="25" spans="1:36" ht="15" x14ac:dyDescent="0.35">
      <c r="A25" s="35" t="s">
        <v>18</v>
      </c>
      <c r="B25" s="31"/>
      <c r="C25" s="31"/>
      <c r="D25" s="31"/>
      <c r="E25" s="31"/>
      <c r="F25" s="46">
        <f>(E23/E24)</f>
        <v>-1.9008455518719058</v>
      </c>
      <c r="G25" s="35" t="s">
        <v>18</v>
      </c>
      <c r="H25" s="31"/>
      <c r="I25" s="31"/>
      <c r="J25" s="31"/>
      <c r="K25" s="31"/>
      <c r="L25" s="46">
        <f>(K23/K24)</f>
        <v>-1.6821939039090752</v>
      </c>
      <c r="M25" s="35" t="s">
        <v>18</v>
      </c>
      <c r="N25" s="31"/>
      <c r="O25" s="31"/>
      <c r="P25" s="31"/>
      <c r="Q25" s="31"/>
      <c r="R25" s="46">
        <f>(Q23/Q24)</f>
        <v>-1.4740265334252241</v>
      </c>
      <c r="S25" s="35" t="s">
        <v>18</v>
      </c>
      <c r="T25" s="31"/>
      <c r="U25" s="31"/>
      <c r="V25" s="31"/>
      <c r="W25" s="31"/>
      <c r="X25" s="46">
        <f>(W23/W24)</f>
        <v>-1.5931685044796693</v>
      </c>
      <c r="AD25" s="77"/>
      <c r="AJ25" s="77"/>
    </row>
    <row r="26" spans="1:36" x14ac:dyDescent="0.2">
      <c r="A26" s="35"/>
      <c r="B26" s="31"/>
      <c r="C26" s="31"/>
      <c r="D26" s="31"/>
      <c r="E26" s="31"/>
      <c r="F26" s="45"/>
      <c r="G26" s="35"/>
      <c r="H26" s="31"/>
      <c r="I26" s="31"/>
      <c r="J26" s="31"/>
      <c r="K26" s="31"/>
      <c r="L26" s="45"/>
      <c r="M26" s="35"/>
      <c r="N26" s="31"/>
      <c r="O26" s="31"/>
      <c r="P26" s="31"/>
      <c r="Q26" s="31"/>
      <c r="R26" s="45"/>
      <c r="S26" s="35"/>
      <c r="T26" s="31"/>
      <c r="U26" s="31"/>
      <c r="V26" s="31"/>
      <c r="W26" s="31"/>
      <c r="X26" s="45"/>
      <c r="AD26" s="74"/>
      <c r="AJ26" s="74"/>
    </row>
    <row r="27" spans="1:36" ht="18.75" thickBot="1" x14ac:dyDescent="0.4">
      <c r="A27" s="28" t="s">
        <v>81</v>
      </c>
      <c r="B27" s="29"/>
      <c r="C27" s="31"/>
      <c r="D27" s="31"/>
      <c r="E27" s="31"/>
      <c r="F27" s="47">
        <f>+F21+F25</f>
        <v>-2.1908455518719059</v>
      </c>
      <c r="G27" s="28" t="s">
        <v>27</v>
      </c>
      <c r="H27" s="29"/>
      <c r="I27" s="31"/>
      <c r="J27" s="31"/>
      <c r="K27" s="31"/>
      <c r="L27" s="47">
        <f>+L21+L25</f>
        <v>-1.8521939039090751</v>
      </c>
      <c r="M27" s="28" t="s">
        <v>27</v>
      </c>
      <c r="N27" s="29"/>
      <c r="O27" s="31"/>
      <c r="P27" s="31"/>
      <c r="Q27" s="31"/>
      <c r="R27" s="47">
        <f>+R21+R25</f>
        <v>-1.414026533425224</v>
      </c>
      <c r="S27" s="28" t="s">
        <v>27</v>
      </c>
      <c r="T27" s="29"/>
      <c r="U27" s="31"/>
      <c r="V27" s="31"/>
      <c r="W27" s="31"/>
      <c r="X27" s="47">
        <f>+ROUND(X25,2)</f>
        <v>-1.59</v>
      </c>
      <c r="Y27" s="60"/>
      <c r="Z27" s="60"/>
      <c r="AD27" s="78"/>
      <c r="AE27" s="60"/>
      <c r="AF27" s="60"/>
      <c r="AJ27" s="78"/>
    </row>
    <row r="28" spans="1:36" ht="13.5" thickTop="1" x14ac:dyDescent="0.2">
      <c r="A28" s="35"/>
      <c r="B28" s="31"/>
      <c r="C28" s="31"/>
      <c r="D28" s="31"/>
      <c r="E28" s="31"/>
      <c r="F28" s="45"/>
      <c r="G28" s="35"/>
      <c r="H28" s="31"/>
      <c r="I28" s="31"/>
      <c r="J28" s="31"/>
      <c r="K28" s="31"/>
      <c r="L28" s="45"/>
      <c r="M28" s="35"/>
      <c r="N28" s="31"/>
      <c r="O28" s="31"/>
      <c r="P28" s="31"/>
      <c r="Q28" s="31"/>
      <c r="R28" s="45"/>
      <c r="S28" s="35"/>
      <c r="T28" s="31"/>
      <c r="U28" s="31"/>
      <c r="V28" s="31"/>
      <c r="W28" s="31"/>
      <c r="X28" s="45"/>
      <c r="AD28" s="74"/>
      <c r="AJ28" s="74"/>
    </row>
    <row r="29" spans="1:36" x14ac:dyDescent="0.2">
      <c r="A29" s="35"/>
      <c r="B29" s="31"/>
      <c r="C29" s="31"/>
      <c r="D29" s="31"/>
      <c r="E29" s="31"/>
      <c r="F29" s="32"/>
      <c r="G29" s="35"/>
      <c r="H29" s="31"/>
      <c r="I29" s="31"/>
      <c r="J29" s="31"/>
      <c r="K29" s="31"/>
      <c r="L29" s="32"/>
      <c r="M29" s="35"/>
      <c r="N29" s="31"/>
      <c r="O29" s="31"/>
      <c r="P29" s="31"/>
      <c r="Q29" s="31"/>
      <c r="R29" s="32"/>
      <c r="S29" s="35"/>
      <c r="T29" s="31"/>
      <c r="U29" s="31"/>
      <c r="V29" s="31"/>
      <c r="W29" s="31"/>
      <c r="X29" s="32"/>
      <c r="AI29" s="79"/>
    </row>
    <row r="30" spans="1:36" ht="15" x14ac:dyDescent="0.35">
      <c r="A30" s="43"/>
      <c r="B30" s="31"/>
      <c r="C30" s="31"/>
      <c r="D30" s="49"/>
      <c r="E30" s="31"/>
      <c r="F30" s="50"/>
      <c r="G30" s="43"/>
      <c r="H30" s="31"/>
      <c r="I30" s="31"/>
      <c r="J30" s="49"/>
      <c r="K30" s="31"/>
      <c r="L30" s="50"/>
      <c r="M30" s="43"/>
      <c r="N30" s="31"/>
      <c r="O30" s="31"/>
      <c r="P30" s="49"/>
      <c r="Q30" s="31"/>
      <c r="R30" s="50"/>
      <c r="S30" s="43"/>
      <c r="T30" s="31"/>
      <c r="U30" s="31"/>
      <c r="V30" s="49"/>
      <c r="W30" s="31"/>
      <c r="X30" s="50"/>
    </row>
    <row r="31" spans="1:36" x14ac:dyDescent="0.2">
      <c r="A31" s="35"/>
      <c r="B31" s="31"/>
      <c r="C31" s="31"/>
      <c r="D31" s="49"/>
      <c r="E31" s="31"/>
      <c r="F31" s="32"/>
      <c r="G31" s="35"/>
      <c r="H31" s="31"/>
      <c r="I31" s="31"/>
      <c r="J31" s="49"/>
      <c r="K31" s="31"/>
      <c r="L31" s="32"/>
      <c r="M31" s="35"/>
      <c r="N31" s="31"/>
      <c r="O31" s="31"/>
      <c r="P31" s="49"/>
      <c r="Q31" s="31"/>
      <c r="R31" s="32"/>
      <c r="S31" s="35"/>
      <c r="T31" s="31"/>
      <c r="U31" s="31"/>
      <c r="V31" s="49"/>
      <c r="W31" s="31"/>
      <c r="X31" s="32"/>
      <c r="AC31" s="71"/>
      <c r="AI31" s="79"/>
      <c r="AJ31" s="80"/>
    </row>
    <row r="32" spans="1:36" x14ac:dyDescent="0.2">
      <c r="A32" s="35"/>
      <c r="B32" s="31"/>
      <c r="C32" s="31"/>
      <c r="D32" s="31"/>
      <c r="E32" s="31"/>
      <c r="F32" s="32"/>
      <c r="G32" s="35"/>
      <c r="H32" s="31"/>
      <c r="I32" s="31"/>
      <c r="J32" s="31"/>
      <c r="K32" s="31"/>
      <c r="L32" s="32"/>
      <c r="M32" s="35"/>
      <c r="N32" s="31"/>
      <c r="O32" s="31"/>
      <c r="P32" s="31"/>
      <c r="Q32" s="31"/>
      <c r="R32" s="32"/>
      <c r="S32" s="35"/>
      <c r="T32" s="31"/>
      <c r="U32" s="31"/>
      <c r="V32" s="31"/>
      <c r="W32" s="31"/>
      <c r="X32" s="32"/>
    </row>
    <row r="33" spans="1:36" ht="19.5" x14ac:dyDescent="0.4">
      <c r="A33" s="170" t="s">
        <v>79</v>
      </c>
      <c r="B33" s="171"/>
      <c r="C33" s="171"/>
      <c r="D33" s="171"/>
      <c r="E33" s="171"/>
      <c r="F33" s="172"/>
      <c r="G33" s="170" t="s">
        <v>30</v>
      </c>
      <c r="H33" s="171"/>
      <c r="I33" s="171"/>
      <c r="J33" s="171"/>
      <c r="K33" s="171"/>
      <c r="L33" s="172"/>
      <c r="M33" s="170" t="s">
        <v>30</v>
      </c>
      <c r="N33" s="171"/>
      <c r="O33" s="171"/>
      <c r="P33" s="171"/>
      <c r="Q33" s="171"/>
      <c r="R33" s="172"/>
      <c r="S33" s="170" t="s">
        <v>30</v>
      </c>
      <c r="T33" s="171"/>
      <c r="U33" s="171"/>
      <c r="V33" s="171"/>
      <c r="W33" s="171"/>
      <c r="X33" s="172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</row>
    <row r="34" spans="1:36" x14ac:dyDescent="0.2">
      <c r="A34" s="28"/>
      <c r="B34" s="31"/>
      <c r="C34" s="31"/>
      <c r="D34" s="31"/>
      <c r="E34" s="31"/>
      <c r="F34" s="32"/>
      <c r="G34" s="28"/>
      <c r="H34" s="31"/>
      <c r="I34" s="31"/>
      <c r="J34" s="31"/>
      <c r="K34" s="31"/>
      <c r="L34" s="32"/>
      <c r="M34" s="28"/>
      <c r="N34" s="31"/>
      <c r="O34" s="31"/>
      <c r="P34" s="31"/>
      <c r="Q34" s="31"/>
      <c r="R34" s="32"/>
      <c r="S34" s="28"/>
      <c r="T34" s="31"/>
      <c r="U34" s="31"/>
      <c r="V34" s="31"/>
      <c r="W34" s="31"/>
      <c r="X34" s="32"/>
    </row>
    <row r="35" spans="1:36" x14ac:dyDescent="0.2">
      <c r="A35" s="33"/>
      <c r="B35" s="31"/>
      <c r="C35" s="36"/>
      <c r="D35" s="36" t="s">
        <v>10</v>
      </c>
      <c r="E35" s="36" t="s">
        <v>11</v>
      </c>
      <c r="F35" s="32"/>
      <c r="G35" s="33"/>
      <c r="H35" s="31"/>
      <c r="I35" s="36"/>
      <c r="J35" s="36" t="s">
        <v>10</v>
      </c>
      <c r="K35" s="36" t="s">
        <v>11</v>
      </c>
      <c r="L35" s="32"/>
      <c r="M35" s="33"/>
      <c r="N35" s="31"/>
      <c r="O35" s="36"/>
      <c r="P35" s="36" t="s">
        <v>10</v>
      </c>
      <c r="Q35" s="36" t="s">
        <v>11</v>
      </c>
      <c r="R35" s="32"/>
      <c r="S35" s="33"/>
      <c r="T35" s="31"/>
      <c r="U35" s="36"/>
      <c r="V35" s="36" t="s">
        <v>10</v>
      </c>
      <c r="W35" s="36" t="s">
        <v>11</v>
      </c>
      <c r="X35" s="32"/>
      <c r="AA35" s="65"/>
      <c r="AB35" s="65"/>
      <c r="AC35" s="65"/>
      <c r="AG35" s="65"/>
      <c r="AH35" s="65"/>
      <c r="AI35" s="65"/>
    </row>
    <row r="36" spans="1:36" x14ac:dyDescent="0.2">
      <c r="A36" s="35"/>
      <c r="B36" s="31"/>
      <c r="C36" s="51" t="s">
        <v>83</v>
      </c>
      <c r="D36" s="51" t="s">
        <v>12</v>
      </c>
      <c r="E36" s="51" t="s">
        <v>13</v>
      </c>
      <c r="F36" s="32"/>
      <c r="G36" s="35"/>
      <c r="H36" s="31"/>
      <c r="I36" s="51" t="s">
        <v>7</v>
      </c>
      <c r="J36" s="51" t="s">
        <v>12</v>
      </c>
      <c r="K36" s="51" t="s">
        <v>13</v>
      </c>
      <c r="L36" s="32"/>
      <c r="M36" s="35"/>
      <c r="N36" s="31"/>
      <c r="O36" s="51" t="s">
        <v>7</v>
      </c>
      <c r="P36" s="51" t="s">
        <v>12</v>
      </c>
      <c r="Q36" s="51" t="s">
        <v>13</v>
      </c>
      <c r="R36" s="32"/>
      <c r="S36" s="35"/>
      <c r="T36" s="31"/>
      <c r="U36" s="51" t="s">
        <v>7</v>
      </c>
      <c r="V36" s="51" t="s">
        <v>12</v>
      </c>
      <c r="W36" s="51" t="s">
        <v>13</v>
      </c>
      <c r="X36" s="32"/>
      <c r="AA36" s="65"/>
      <c r="AB36" s="65"/>
      <c r="AC36" s="65"/>
      <c r="AG36" s="65"/>
      <c r="AH36" s="65"/>
      <c r="AI36" s="65"/>
    </row>
    <row r="37" spans="1:36" ht="16.5" x14ac:dyDescent="0.35">
      <c r="A37" s="38" t="str">
        <f>A10</f>
        <v xml:space="preserve">Projected Revenue </v>
      </c>
      <c r="B37" s="39"/>
      <c r="C37" s="40"/>
      <c r="D37" s="40"/>
      <c r="E37" s="40"/>
      <c r="F37" s="32"/>
      <c r="G37" s="38" t="str">
        <f>G10</f>
        <v>Projected Revenue - NA</v>
      </c>
      <c r="H37" s="39"/>
      <c r="I37" s="40"/>
      <c r="J37" s="40"/>
      <c r="K37" s="40"/>
      <c r="L37" s="32"/>
      <c r="M37" s="38" t="str">
        <f>M10</f>
        <v>Projected Revenue - NA</v>
      </c>
      <c r="N37" s="39"/>
      <c r="O37" s="40"/>
      <c r="P37" s="40"/>
      <c r="Q37" s="40"/>
      <c r="R37" s="32"/>
      <c r="S37" s="38" t="str">
        <f>S10</f>
        <v>Projected Revenue - NA</v>
      </c>
      <c r="T37" s="39"/>
      <c r="U37" s="40"/>
      <c r="V37" s="40"/>
      <c r="W37" s="40"/>
      <c r="X37" s="32"/>
      <c r="Y37" s="67"/>
      <c r="Z37" s="67"/>
      <c r="AA37" s="68"/>
      <c r="AB37" s="68"/>
      <c r="AC37" s="68"/>
      <c r="AE37" s="67"/>
      <c r="AF37" s="67"/>
      <c r="AG37" s="68"/>
      <c r="AH37" s="68"/>
      <c r="AI37" s="68"/>
    </row>
    <row r="38" spans="1:36" x14ac:dyDescent="0.2">
      <c r="A38" s="35" t="s">
        <v>74</v>
      </c>
      <c r="B38" s="44"/>
      <c r="C38" s="93">
        <f>+'Commodity Debit'!D12*2</f>
        <v>6650.88</v>
      </c>
      <c r="D38" s="42">
        <f>+D11/4.33</f>
        <v>-0.33949191685912239</v>
      </c>
      <c r="E38" s="41">
        <f>D38*C38</f>
        <v>-2257.92</v>
      </c>
      <c r="F38" s="32"/>
      <c r="G38" s="35" t="str">
        <f>G11</f>
        <v>Feb - Mar 2019 with adjustment factor</v>
      </c>
      <c r="H38" s="44"/>
      <c r="I38" s="93"/>
      <c r="J38" s="42">
        <v>0</v>
      </c>
      <c r="K38" s="41">
        <f>J38*I38</f>
        <v>0</v>
      </c>
      <c r="L38" s="32"/>
      <c r="M38" s="35" t="str">
        <f>M11</f>
        <v>Oct - Dec 2018 with adjustment factor</v>
      </c>
      <c r="N38" s="44"/>
      <c r="O38" s="93"/>
      <c r="P38" s="42">
        <v>0</v>
      </c>
      <c r="Q38" s="41">
        <f>P38*O38</f>
        <v>0</v>
      </c>
      <c r="R38" s="32"/>
      <c r="S38" s="35" t="str">
        <f>S11</f>
        <v>Jul-Jun projected value without adjustment factor</v>
      </c>
      <c r="T38" s="44"/>
      <c r="U38" s="93"/>
      <c r="V38" s="42">
        <v>0</v>
      </c>
      <c r="W38" s="41">
        <f>V38*U38</f>
        <v>0</v>
      </c>
      <c r="X38" s="32"/>
      <c r="Z38" s="72"/>
      <c r="AA38" s="69"/>
      <c r="AB38" s="70"/>
      <c r="AC38" s="69"/>
      <c r="AF38" s="72"/>
      <c r="AG38" s="69"/>
      <c r="AH38" s="70"/>
      <c r="AI38" s="69"/>
    </row>
    <row r="39" spans="1:36" ht="15" x14ac:dyDescent="0.35">
      <c r="A39" s="43" t="s">
        <v>75</v>
      </c>
      <c r="B39" s="44"/>
      <c r="C39" s="94">
        <f>+'Commodity Debit'!D12*4</f>
        <v>13301.76</v>
      </c>
      <c r="D39" s="42">
        <f>+D12/4.33</f>
        <v>-0.38799076212471129</v>
      </c>
      <c r="E39" s="41">
        <f>D39*C39</f>
        <v>-5160.96</v>
      </c>
      <c r="F39" s="32"/>
      <c r="G39" s="43"/>
      <c r="H39" s="44"/>
      <c r="I39" s="94">
        <v>0</v>
      </c>
      <c r="J39" s="42">
        <v>0</v>
      </c>
      <c r="K39" s="41">
        <f>J39*I39</f>
        <v>0</v>
      </c>
      <c r="L39" s="32"/>
      <c r="M39" s="43"/>
      <c r="N39" s="44"/>
      <c r="O39" s="94">
        <v>0</v>
      </c>
      <c r="P39" s="42">
        <v>0</v>
      </c>
      <c r="Q39" s="41">
        <f>P39*O39</f>
        <v>0</v>
      </c>
      <c r="R39" s="32"/>
      <c r="S39" s="43"/>
      <c r="T39" s="44"/>
      <c r="U39" s="94">
        <v>0</v>
      </c>
      <c r="V39" s="42">
        <v>0</v>
      </c>
      <c r="W39" s="41">
        <f>V39*U39</f>
        <v>0</v>
      </c>
      <c r="X39" s="32"/>
      <c r="Y39" s="71"/>
      <c r="Z39" s="72"/>
      <c r="AA39" s="73"/>
      <c r="AB39" s="70"/>
      <c r="AC39" s="73"/>
      <c r="AE39" s="71"/>
      <c r="AF39" s="72"/>
      <c r="AG39" s="73"/>
      <c r="AH39" s="70"/>
      <c r="AI39" s="73"/>
    </row>
    <row r="40" spans="1:36" x14ac:dyDescent="0.2">
      <c r="A40" s="35" t="s">
        <v>11</v>
      </c>
      <c r="B40" s="31"/>
      <c r="C40" s="41">
        <f>SUM(C38:C39)</f>
        <v>19952.64</v>
      </c>
      <c r="D40" s="41"/>
      <c r="E40" s="41">
        <f>SUM(E38:E39)</f>
        <v>-7418.88</v>
      </c>
      <c r="F40" s="32"/>
      <c r="G40" s="35" t="s">
        <v>11</v>
      </c>
      <c r="H40" s="31"/>
      <c r="I40" s="41">
        <f>SUM(I38:I39)</f>
        <v>0</v>
      </c>
      <c r="J40" s="41"/>
      <c r="K40" s="41">
        <f>SUM(K38:K39)</f>
        <v>0</v>
      </c>
      <c r="L40" s="32"/>
      <c r="M40" s="35" t="s">
        <v>11</v>
      </c>
      <c r="N40" s="31"/>
      <c r="O40" s="41">
        <f>SUM(O38:O39)</f>
        <v>0</v>
      </c>
      <c r="P40" s="41"/>
      <c r="Q40" s="41">
        <f>SUM(Q38:Q39)</f>
        <v>0</v>
      </c>
      <c r="R40" s="32"/>
      <c r="S40" s="35" t="s">
        <v>11</v>
      </c>
      <c r="T40" s="31"/>
      <c r="U40" s="41">
        <f>SUM(U38:U39)</f>
        <v>0</v>
      </c>
      <c r="V40" s="41"/>
      <c r="W40" s="41">
        <f>SUM(W38:W39)</f>
        <v>0</v>
      </c>
      <c r="X40" s="32"/>
      <c r="AA40" s="69"/>
      <c r="AC40" s="69"/>
      <c r="AG40" s="69"/>
      <c r="AI40" s="69"/>
    </row>
    <row r="41" spans="1:36" x14ac:dyDescent="0.2">
      <c r="A41" s="35"/>
      <c r="B41" s="31"/>
      <c r="C41" s="31"/>
      <c r="D41" s="31"/>
      <c r="E41" s="31"/>
      <c r="F41" s="32"/>
      <c r="G41" s="35"/>
      <c r="H41" s="31"/>
      <c r="I41" s="31"/>
      <c r="J41" s="31"/>
      <c r="K41" s="31"/>
      <c r="L41" s="32"/>
      <c r="M41" s="35"/>
      <c r="N41" s="31"/>
      <c r="O41" s="31"/>
      <c r="P41" s="31"/>
      <c r="Q41" s="31"/>
      <c r="R41" s="32"/>
      <c r="S41" s="35"/>
      <c r="T41" s="31"/>
      <c r="U41" s="31"/>
      <c r="V41" s="31"/>
      <c r="W41" s="31"/>
      <c r="X41" s="32"/>
    </row>
    <row r="42" spans="1:36" x14ac:dyDescent="0.2">
      <c r="A42" s="35" t="str">
        <f>+A15</f>
        <v>Actual Commodity Revenue August 2019-February 2020</v>
      </c>
      <c r="B42" s="31"/>
      <c r="C42" s="31"/>
      <c r="D42" s="31"/>
      <c r="E42" s="93">
        <f>+'Aug 19 - Jan 20'!I23</f>
        <v>-17477.828106959198</v>
      </c>
      <c r="F42" s="32"/>
      <c r="G42" s="35" t="s">
        <v>14</v>
      </c>
      <c r="H42" s="31"/>
      <c r="I42" s="31"/>
      <c r="J42" s="31"/>
      <c r="K42" s="93"/>
      <c r="L42" s="32"/>
      <c r="M42" s="35" t="s">
        <v>14</v>
      </c>
      <c r="N42" s="31"/>
      <c r="O42" s="31"/>
      <c r="P42" s="31"/>
      <c r="Q42" s="93"/>
      <c r="R42" s="32"/>
      <c r="S42" s="35" t="s">
        <v>14</v>
      </c>
      <c r="T42" s="31"/>
      <c r="U42" s="31"/>
      <c r="V42" s="31"/>
      <c r="W42" s="93"/>
      <c r="X42" s="32"/>
      <c r="AC42" s="69"/>
      <c r="AI42" s="69"/>
    </row>
    <row r="43" spans="1:36" x14ac:dyDescent="0.2">
      <c r="A43" s="35"/>
      <c r="B43" s="31"/>
      <c r="C43" s="31"/>
      <c r="D43" s="31"/>
      <c r="E43" s="31"/>
      <c r="F43" s="32"/>
      <c r="G43" s="35"/>
      <c r="H43" s="31"/>
      <c r="I43" s="31"/>
      <c r="J43" s="31"/>
      <c r="K43" s="31"/>
      <c r="L43" s="32"/>
      <c r="M43" s="35"/>
      <c r="N43" s="31"/>
      <c r="O43" s="31"/>
      <c r="P43" s="31"/>
      <c r="Q43" s="31"/>
      <c r="R43" s="32"/>
      <c r="S43" s="35"/>
      <c r="T43" s="31"/>
      <c r="U43" s="31"/>
      <c r="V43" s="31"/>
      <c r="W43" s="31"/>
      <c r="X43" s="32"/>
    </row>
    <row r="44" spans="1:36" x14ac:dyDescent="0.2">
      <c r="A44" s="35" t="s">
        <v>15</v>
      </c>
      <c r="B44" s="31"/>
      <c r="C44" s="31"/>
      <c r="D44" s="31"/>
      <c r="E44" s="41">
        <f>E42-E40</f>
        <v>-10058.948106959197</v>
      </c>
      <c r="F44" s="32"/>
      <c r="G44" s="35" t="s">
        <v>15</v>
      </c>
      <c r="H44" s="31"/>
      <c r="I44" s="31"/>
      <c r="J44" s="31"/>
      <c r="K44" s="41">
        <f>K42-K40</f>
        <v>0</v>
      </c>
      <c r="L44" s="32"/>
      <c r="M44" s="35" t="s">
        <v>15</v>
      </c>
      <c r="N44" s="31"/>
      <c r="O44" s="31"/>
      <c r="P44" s="31"/>
      <c r="Q44" s="41">
        <f>Q42-Q40</f>
        <v>0</v>
      </c>
      <c r="R44" s="32"/>
      <c r="S44" s="35" t="s">
        <v>15</v>
      </c>
      <c r="T44" s="31"/>
      <c r="U44" s="31"/>
      <c r="V44" s="31"/>
      <c r="W44" s="41">
        <f>W42-W40</f>
        <v>0</v>
      </c>
      <c r="X44" s="32"/>
      <c r="AC44" s="69"/>
      <c r="AI44" s="69"/>
    </row>
    <row r="45" spans="1:36" x14ac:dyDescent="0.2">
      <c r="A45" s="35"/>
      <c r="B45" s="31"/>
      <c r="C45" s="31"/>
      <c r="D45" s="31"/>
      <c r="E45" s="31"/>
      <c r="F45" s="32"/>
      <c r="G45" s="35"/>
      <c r="H45" s="31"/>
      <c r="I45" s="31"/>
      <c r="J45" s="31"/>
      <c r="K45" s="31"/>
      <c r="L45" s="32"/>
      <c r="M45" s="35"/>
      <c r="N45" s="31"/>
      <c r="O45" s="31"/>
      <c r="P45" s="31"/>
      <c r="Q45" s="31"/>
      <c r="R45" s="32"/>
      <c r="S45" s="35"/>
      <c r="T45" s="31"/>
      <c r="U45" s="31"/>
      <c r="V45" s="31"/>
      <c r="W45" s="31"/>
      <c r="X45" s="32"/>
    </row>
    <row r="46" spans="1:36" x14ac:dyDescent="0.2">
      <c r="A46" s="35" t="s">
        <v>88</v>
      </c>
      <c r="B46" s="31"/>
      <c r="C46" s="31"/>
      <c r="D46" s="31"/>
      <c r="E46" s="41">
        <f>+C40</f>
        <v>19952.64</v>
      </c>
      <c r="F46" s="32"/>
      <c r="G46" s="35" t="s">
        <v>16</v>
      </c>
      <c r="H46" s="31"/>
      <c r="I46" s="31"/>
      <c r="J46" s="31"/>
      <c r="K46" s="41">
        <f>+I40</f>
        <v>0</v>
      </c>
      <c r="L46" s="32"/>
      <c r="M46" s="35" t="s">
        <v>16</v>
      </c>
      <c r="N46" s="31"/>
      <c r="O46" s="31"/>
      <c r="P46" s="31"/>
      <c r="Q46" s="41">
        <f>+O40</f>
        <v>0</v>
      </c>
      <c r="R46" s="32"/>
      <c r="S46" s="35" t="s">
        <v>16</v>
      </c>
      <c r="T46" s="31"/>
      <c r="U46" s="31"/>
      <c r="V46" s="31"/>
      <c r="W46" s="41">
        <f>+U40</f>
        <v>0</v>
      </c>
      <c r="X46" s="32"/>
      <c r="AC46" s="69"/>
      <c r="AI46" s="69"/>
    </row>
    <row r="47" spans="1:36" x14ac:dyDescent="0.2">
      <c r="A47" s="35"/>
      <c r="B47" s="31"/>
      <c r="C47" s="31"/>
      <c r="D47" s="31"/>
      <c r="E47" s="31"/>
      <c r="F47" s="32"/>
      <c r="G47" s="35"/>
      <c r="H47" s="31"/>
      <c r="I47" s="31"/>
      <c r="J47" s="31"/>
      <c r="K47" s="31"/>
      <c r="L47" s="32"/>
      <c r="M47" s="35"/>
      <c r="N47" s="31"/>
      <c r="O47" s="31"/>
      <c r="P47" s="31"/>
      <c r="Q47" s="31"/>
      <c r="R47" s="32"/>
      <c r="S47" s="35"/>
      <c r="T47" s="31"/>
      <c r="U47" s="31"/>
      <c r="V47" s="31"/>
      <c r="W47" s="31"/>
      <c r="X47" s="32"/>
    </row>
    <row r="48" spans="1:36" x14ac:dyDescent="0.2">
      <c r="A48" s="35" t="s">
        <v>17</v>
      </c>
      <c r="B48" s="31"/>
      <c r="C48" s="31"/>
      <c r="D48" s="31"/>
      <c r="E48" s="31"/>
      <c r="F48" s="52">
        <f>ROUND((E44/E46),2)</f>
        <v>-0.5</v>
      </c>
      <c r="G48" s="35" t="s">
        <v>17</v>
      </c>
      <c r="H48" s="31"/>
      <c r="I48" s="31"/>
      <c r="J48" s="31"/>
      <c r="K48" s="31"/>
      <c r="L48" s="52" t="e">
        <f>ROUND((K44/K46),2)</f>
        <v>#DIV/0!</v>
      </c>
      <c r="M48" s="35" t="s">
        <v>17</v>
      </c>
      <c r="N48" s="31"/>
      <c r="O48" s="31"/>
      <c r="P48" s="31"/>
      <c r="Q48" s="31"/>
      <c r="R48" s="52" t="e">
        <f>ROUND((Q44/Q46),2)</f>
        <v>#DIV/0!</v>
      </c>
      <c r="S48" s="35" t="s">
        <v>17</v>
      </c>
      <c r="T48" s="31"/>
      <c r="U48" s="31"/>
      <c r="V48" s="31"/>
      <c r="W48" s="31"/>
      <c r="X48" s="52" t="e">
        <f>ROUND((W44/W46),2)</f>
        <v>#DIV/0!</v>
      </c>
      <c r="AD48" s="81"/>
      <c r="AJ48" s="81"/>
    </row>
    <row r="49" spans="1:36" x14ac:dyDescent="0.2">
      <c r="A49" s="35"/>
      <c r="B49" s="31"/>
      <c r="C49" s="31"/>
      <c r="D49" s="31"/>
      <c r="E49" s="41"/>
      <c r="F49" s="32"/>
      <c r="G49" s="35"/>
      <c r="H49" s="31"/>
      <c r="I49" s="31"/>
      <c r="J49" s="31"/>
      <c r="K49" s="41"/>
      <c r="L49" s="32"/>
      <c r="M49" s="35"/>
      <c r="N49" s="31"/>
      <c r="O49" s="31"/>
      <c r="P49" s="31"/>
      <c r="Q49" s="41"/>
      <c r="R49" s="32"/>
      <c r="S49" s="35"/>
      <c r="T49" s="31"/>
      <c r="U49" s="31"/>
      <c r="V49" s="31"/>
      <c r="W49" s="41"/>
      <c r="X49" s="32"/>
      <c r="AC49" s="69"/>
      <c r="AI49" s="69"/>
    </row>
    <row r="50" spans="1:36" ht="16.5" x14ac:dyDescent="0.35">
      <c r="A50" s="160" t="str">
        <f>A23</f>
        <v>Projected Revenue April - September 2020</v>
      </c>
      <c r="B50" s="39"/>
      <c r="C50" s="31"/>
      <c r="D50" s="31"/>
      <c r="E50" s="161">
        <f>+E42</f>
        <v>-17477.828106959198</v>
      </c>
      <c r="F50" s="32"/>
      <c r="G50" s="96" t="str">
        <f>G23</f>
        <v>Projected Revenue Oct 2019 - Mar 2020</v>
      </c>
      <c r="H50" s="39"/>
      <c r="I50" s="31"/>
      <c r="J50" s="31"/>
      <c r="K50" s="95"/>
      <c r="L50" s="32"/>
      <c r="M50" s="96" t="str">
        <f>M23</f>
        <v>Projected Revenue Apr 2019 - Sep 2019</v>
      </c>
      <c r="N50" s="39"/>
      <c r="O50" s="31"/>
      <c r="P50" s="31"/>
      <c r="Q50" s="95"/>
      <c r="R50" s="32"/>
      <c r="S50" s="96" t="str">
        <f>S23</f>
        <v>Projected Revenue Oct 2018 - Mar 2019</v>
      </c>
      <c r="T50" s="39"/>
      <c r="U50" s="31"/>
      <c r="V50" s="31"/>
      <c r="W50" s="95"/>
      <c r="X50" s="32"/>
      <c r="Y50" s="67"/>
      <c r="Z50" s="67"/>
      <c r="AC50" s="75"/>
      <c r="AE50" s="67"/>
      <c r="AF50" s="67"/>
      <c r="AI50" s="75"/>
    </row>
    <row r="51" spans="1:36" x14ac:dyDescent="0.2">
      <c r="A51" s="35" t="s">
        <v>88</v>
      </c>
      <c r="B51" s="31"/>
      <c r="C51" s="31"/>
      <c r="D51" s="31"/>
      <c r="E51" s="41">
        <f>E46</f>
        <v>19952.64</v>
      </c>
      <c r="F51" s="32"/>
      <c r="G51" s="35" t="s">
        <v>16</v>
      </c>
      <c r="H51" s="31"/>
      <c r="I51" s="31"/>
      <c r="J51" s="31"/>
      <c r="K51" s="41">
        <f>K46</f>
        <v>0</v>
      </c>
      <c r="L51" s="32"/>
      <c r="M51" s="35" t="s">
        <v>16</v>
      </c>
      <c r="N51" s="31"/>
      <c r="O51" s="31"/>
      <c r="P51" s="31"/>
      <c r="Q51" s="41">
        <f>Q46</f>
        <v>0</v>
      </c>
      <c r="R51" s="32"/>
      <c r="S51" s="35" t="s">
        <v>16</v>
      </c>
      <c r="T51" s="31"/>
      <c r="U51" s="31"/>
      <c r="V51" s="31"/>
      <c r="W51" s="41">
        <f>W46</f>
        <v>0</v>
      </c>
      <c r="X51" s="32"/>
      <c r="AC51" s="69"/>
      <c r="AI51" s="69"/>
    </row>
    <row r="52" spans="1:36" ht="15" x14ac:dyDescent="0.35">
      <c r="A52" s="35" t="s">
        <v>18</v>
      </c>
      <c r="B52" s="31"/>
      <c r="C52" s="31"/>
      <c r="D52" s="31"/>
      <c r="E52" s="31"/>
      <c r="F52" s="53">
        <f>ROUND((E50/E51),2)</f>
        <v>-0.88</v>
      </c>
      <c r="G52" s="35" t="s">
        <v>18</v>
      </c>
      <c r="H52" s="31"/>
      <c r="I52" s="31"/>
      <c r="J52" s="31"/>
      <c r="K52" s="31"/>
      <c r="L52" s="53" t="e">
        <f>ROUND((K50/K51),2)</f>
        <v>#DIV/0!</v>
      </c>
      <c r="M52" s="35" t="s">
        <v>18</v>
      </c>
      <c r="N52" s="31"/>
      <c r="O52" s="31"/>
      <c r="P52" s="31"/>
      <c r="Q52" s="31"/>
      <c r="R52" s="53" t="e">
        <f>ROUND((Q50/Q51),2)</f>
        <v>#DIV/0!</v>
      </c>
      <c r="S52" s="35" t="s">
        <v>18</v>
      </c>
      <c r="T52" s="31"/>
      <c r="U52" s="31"/>
      <c r="V52" s="31"/>
      <c r="W52" s="31"/>
      <c r="X52" s="53" t="e">
        <f>ROUND((W50/W51),2)</f>
        <v>#DIV/0!</v>
      </c>
      <c r="AD52" s="77"/>
      <c r="AJ52" s="77"/>
    </row>
    <row r="53" spans="1:36" x14ac:dyDescent="0.2">
      <c r="A53" s="35"/>
      <c r="B53" s="31"/>
      <c r="C53" s="31"/>
      <c r="D53" s="31"/>
      <c r="E53" s="31"/>
      <c r="F53" s="32"/>
      <c r="G53" s="35"/>
      <c r="H53" s="31"/>
      <c r="I53" s="31"/>
      <c r="J53" s="31"/>
      <c r="K53" s="31"/>
      <c r="L53" s="32"/>
      <c r="M53" s="35"/>
      <c r="N53" s="31"/>
      <c r="O53" s="31"/>
      <c r="P53" s="31"/>
      <c r="Q53" s="31"/>
      <c r="R53" s="32"/>
      <c r="S53" s="35"/>
      <c r="T53" s="31"/>
      <c r="U53" s="31"/>
      <c r="V53" s="31"/>
      <c r="W53" s="31"/>
      <c r="X53" s="32"/>
    </row>
    <row r="54" spans="1:36" ht="18.75" thickBot="1" x14ac:dyDescent="0.4">
      <c r="A54" s="28" t="s">
        <v>82</v>
      </c>
      <c r="B54" s="29"/>
      <c r="C54" s="31"/>
      <c r="D54" s="31"/>
      <c r="E54" s="31"/>
      <c r="F54" s="48">
        <f>+F52+F48</f>
        <v>-1.38</v>
      </c>
      <c r="G54" s="28" t="s">
        <v>19</v>
      </c>
      <c r="H54" s="29"/>
      <c r="I54" s="31"/>
      <c r="J54" s="31"/>
      <c r="K54" s="31"/>
      <c r="L54" s="48" t="e">
        <f>+L52+L48</f>
        <v>#DIV/0!</v>
      </c>
      <c r="M54" s="28" t="s">
        <v>19</v>
      </c>
      <c r="N54" s="29"/>
      <c r="O54" s="31"/>
      <c r="P54" s="31"/>
      <c r="Q54" s="31"/>
      <c r="R54" s="48" t="e">
        <f>+R52+R48</f>
        <v>#DIV/0!</v>
      </c>
      <c r="S54" s="28" t="s">
        <v>19</v>
      </c>
      <c r="T54" s="29"/>
      <c r="U54" s="31"/>
      <c r="V54" s="31"/>
      <c r="W54" s="31"/>
      <c r="X54" s="48" t="e">
        <f>+X52+X48</f>
        <v>#DIV/0!</v>
      </c>
      <c r="Y54" s="60"/>
      <c r="Z54" s="60"/>
      <c r="AD54" s="78"/>
      <c r="AE54" s="60"/>
      <c r="AF54" s="60"/>
      <c r="AJ54" s="78"/>
    </row>
    <row r="55" spans="1:36" ht="18.75" thickTop="1" x14ac:dyDescent="0.35">
      <c r="A55" s="28"/>
      <c r="B55" s="29"/>
      <c r="C55" s="31"/>
      <c r="D55" s="31"/>
      <c r="E55" s="31"/>
      <c r="F55" s="54"/>
      <c r="G55" s="28"/>
      <c r="H55" s="29"/>
      <c r="I55" s="31"/>
      <c r="J55" s="31"/>
      <c r="K55" s="31"/>
      <c r="L55" s="54"/>
      <c r="M55" s="28"/>
      <c r="N55" s="29"/>
      <c r="O55" s="31"/>
      <c r="P55" s="31"/>
      <c r="Q55" s="31"/>
      <c r="R55" s="54"/>
      <c r="S55" s="28"/>
      <c r="T55" s="29"/>
      <c r="U55" s="31"/>
      <c r="V55" s="31"/>
      <c r="W55" s="31"/>
      <c r="X55" s="54"/>
      <c r="Y55" s="60"/>
      <c r="Z55" s="60"/>
      <c r="AD55" s="78"/>
      <c r="AE55" s="60"/>
      <c r="AF55" s="60"/>
      <c r="AH55" s="79"/>
      <c r="AJ55" s="78"/>
    </row>
    <row r="56" spans="1:36" ht="15" x14ac:dyDescent="0.35">
      <c r="A56" s="43"/>
      <c r="B56" s="31"/>
      <c r="C56" s="31"/>
      <c r="D56" s="31"/>
      <c r="E56" s="31"/>
      <c r="F56" s="50"/>
      <c r="G56" s="43"/>
      <c r="H56" s="31"/>
      <c r="I56" s="31"/>
      <c r="J56" s="31"/>
      <c r="K56" s="31"/>
      <c r="L56" s="50"/>
      <c r="M56" s="43"/>
      <c r="N56" s="31"/>
      <c r="O56" s="31"/>
      <c r="P56" s="31"/>
      <c r="Q56" s="31"/>
      <c r="R56" s="50"/>
      <c r="S56" s="43"/>
      <c r="T56" s="31"/>
      <c r="U56" s="31"/>
      <c r="V56" s="31"/>
      <c r="W56" s="31"/>
      <c r="X56" s="50"/>
    </row>
    <row r="57" spans="1:36" ht="13.5" thickBot="1" x14ac:dyDescent="0.25">
      <c r="A57" s="55"/>
      <c r="B57" s="56"/>
      <c r="C57" s="56"/>
      <c r="D57" s="56"/>
      <c r="E57" s="56"/>
      <c r="F57" s="57"/>
      <c r="G57" s="55"/>
      <c r="H57" s="56"/>
      <c r="I57" s="56"/>
      <c r="J57" s="56"/>
      <c r="K57" s="56"/>
      <c r="L57" s="57"/>
      <c r="M57" s="55"/>
      <c r="N57" s="56"/>
      <c r="O57" s="56"/>
      <c r="P57" s="56"/>
      <c r="Q57" s="56"/>
      <c r="R57" s="57"/>
      <c r="S57" s="55"/>
      <c r="T57" s="56"/>
      <c r="U57" s="56"/>
      <c r="V57" s="56"/>
      <c r="W57" s="56"/>
      <c r="X57" s="57"/>
      <c r="AH57" s="79"/>
      <c r="AJ57" s="82"/>
    </row>
  </sheetData>
  <mergeCells count="12">
    <mergeCell ref="A4:F4"/>
    <mergeCell ref="A6:F6"/>
    <mergeCell ref="A33:F33"/>
    <mergeCell ref="S4:X4"/>
    <mergeCell ref="S6:X6"/>
    <mergeCell ref="S33:X33"/>
    <mergeCell ref="G4:L4"/>
    <mergeCell ref="G6:L6"/>
    <mergeCell ref="G33:L33"/>
    <mergeCell ref="M4:R4"/>
    <mergeCell ref="M6:R6"/>
    <mergeCell ref="M33:R33"/>
  </mergeCells>
  <phoneticPr fontId="7" type="noConversion"/>
  <pageMargins left="0.92" right="0.25" top="0.45" bottom="0.37" header="0.3" footer="0.3"/>
  <pageSetup scale="94" fitToWidth="0" orientation="portrait" horizontalDpi="300" verticalDpi="300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7" workbookViewId="0">
      <selection activeCell="C23" sqref="C23:F23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8" max="9" width="10.7109375" bestFit="1" customWidth="1"/>
    <col min="10" max="10" width="12.28515625" customWidth="1"/>
    <col min="11" max="11" width="9.5703125" bestFit="1" customWidth="1"/>
    <col min="15" max="15" width="12.140625" bestFit="1" customWidth="1"/>
  </cols>
  <sheetData>
    <row r="1" spans="1:15" ht="23.25" x14ac:dyDescent="0.35">
      <c r="A1" s="173" t="s">
        <v>22</v>
      </c>
      <c r="B1" s="173"/>
      <c r="C1" s="173"/>
      <c r="D1" s="173"/>
      <c r="E1" s="173"/>
      <c r="F1" s="173"/>
      <c r="G1" s="173"/>
    </row>
    <row r="2" spans="1:15" ht="18" x14ac:dyDescent="0.25">
      <c r="A2" s="174" t="s">
        <v>23</v>
      </c>
      <c r="B2" s="174"/>
      <c r="C2" s="174"/>
      <c r="D2" s="174"/>
      <c r="E2" s="174"/>
      <c r="F2" s="174"/>
      <c r="G2" s="174"/>
    </row>
    <row r="3" spans="1:15" ht="15.75" x14ac:dyDescent="0.25">
      <c r="A3" s="175" t="s">
        <v>59</v>
      </c>
      <c r="B3" s="175"/>
      <c r="C3" s="175"/>
      <c r="D3" s="175"/>
      <c r="E3" s="175"/>
      <c r="F3" s="175"/>
      <c r="G3" s="175"/>
    </row>
    <row r="4" spans="1:15" x14ac:dyDescent="0.25">
      <c r="A4" s="1"/>
      <c r="B4" s="1"/>
      <c r="C4" s="1"/>
      <c r="D4" s="3"/>
      <c r="E4" s="1"/>
      <c r="F4" s="1"/>
    </row>
    <row r="5" spans="1:15" x14ac:dyDescent="0.25">
      <c r="A5" s="1"/>
      <c r="B5" s="1"/>
      <c r="C5" s="1"/>
      <c r="D5" s="3"/>
      <c r="E5" s="1"/>
      <c r="F5" s="1"/>
    </row>
    <row r="6" spans="1:15" x14ac:dyDescent="0.25">
      <c r="A6" s="1"/>
      <c r="B6" s="1"/>
      <c r="C6" s="1"/>
      <c r="D6" s="3"/>
      <c r="E6" s="1"/>
      <c r="F6" s="1"/>
      <c r="G6" s="1"/>
    </row>
    <row r="7" spans="1:15" x14ac:dyDescent="0.25">
      <c r="A7" s="1"/>
      <c r="B7" s="2"/>
      <c r="C7" s="1"/>
      <c r="D7" s="1"/>
      <c r="E7" s="3"/>
      <c r="F7" s="1"/>
    </row>
    <row r="8" spans="1:15" ht="15.75" x14ac:dyDescent="0.25">
      <c r="B8" s="4" t="s">
        <v>1</v>
      </c>
      <c r="C8" s="5" t="s">
        <v>2</v>
      </c>
      <c r="D8" s="4" t="s">
        <v>3</v>
      </c>
      <c r="E8" s="4" t="s">
        <v>4</v>
      </c>
      <c r="F8" s="4" t="s">
        <v>5</v>
      </c>
      <c r="G8" s="4" t="s">
        <v>5</v>
      </c>
      <c r="H8" s="158">
        <f>+'Commodity Debit'!D11</f>
        <v>11155.97</v>
      </c>
      <c r="I8" s="158">
        <f>+'Commodity Debit'!D12</f>
        <v>3325.44</v>
      </c>
      <c r="J8" s="158">
        <f>+H8+I8</f>
        <v>14481.41</v>
      </c>
    </row>
    <row r="9" spans="1:15" ht="16.5" thickBot="1" x14ac:dyDescent="0.3">
      <c r="B9" s="6"/>
      <c r="C9" s="7"/>
      <c r="D9" s="6"/>
      <c r="E9" s="8"/>
      <c r="F9" s="6" t="s">
        <v>6</v>
      </c>
      <c r="G9" s="6"/>
      <c r="H9" t="s">
        <v>77</v>
      </c>
      <c r="I9" t="s">
        <v>78</v>
      </c>
      <c r="J9" t="s">
        <v>11</v>
      </c>
    </row>
    <row r="10" spans="1:15" ht="16.5" thickTop="1" x14ac:dyDescent="0.25">
      <c r="B10" s="9"/>
      <c r="C10" s="10"/>
      <c r="D10" s="10"/>
      <c r="E10" s="9"/>
      <c r="F10" s="11"/>
      <c r="G10" s="114"/>
    </row>
    <row r="11" spans="1:15" ht="15.75" x14ac:dyDescent="0.25">
      <c r="B11" s="18" t="s">
        <v>53</v>
      </c>
      <c r="C11" s="102">
        <v>0</v>
      </c>
      <c r="D11" s="102">
        <v>218920</v>
      </c>
      <c r="E11" s="101">
        <f t="shared" ref="E11:E17" si="0">D11/2000</f>
        <v>109.46</v>
      </c>
      <c r="F11" s="97">
        <f t="shared" ref="F11:F17" si="1">G11/E11</f>
        <v>-115.04969852000731</v>
      </c>
      <c r="G11" s="104">
        <v>-12593.34</v>
      </c>
      <c r="I11" s="91"/>
      <c r="J11" s="18"/>
      <c r="K11" s="102"/>
      <c r="L11" s="102"/>
      <c r="M11" s="103"/>
      <c r="N11" s="97"/>
      <c r="O11" s="104"/>
    </row>
    <row r="12" spans="1:15" ht="15.75" x14ac:dyDescent="0.25">
      <c r="B12" s="18" t="s">
        <v>54</v>
      </c>
      <c r="C12" s="102">
        <v>0</v>
      </c>
      <c r="D12" s="102">
        <v>245000</v>
      </c>
      <c r="E12" s="103">
        <f t="shared" si="0"/>
        <v>122.5</v>
      </c>
      <c r="F12" s="97">
        <f t="shared" si="1"/>
        <v>-108.17134693877551</v>
      </c>
      <c r="G12" s="104">
        <v>-13250.99</v>
      </c>
      <c r="I12" s="91"/>
      <c r="J12" s="19"/>
      <c r="K12" s="102"/>
      <c r="L12" s="102"/>
      <c r="M12" s="103"/>
      <c r="N12" s="97"/>
      <c r="O12" s="104"/>
    </row>
    <row r="13" spans="1:15" ht="15.75" x14ac:dyDescent="0.25">
      <c r="B13" s="18" t="s">
        <v>55</v>
      </c>
      <c r="C13" s="102">
        <v>0</v>
      </c>
      <c r="D13" s="102">
        <v>279480</v>
      </c>
      <c r="E13" s="103">
        <f t="shared" si="0"/>
        <v>139.74</v>
      </c>
      <c r="F13" s="97">
        <f t="shared" si="1"/>
        <v>-78.060326320309144</v>
      </c>
      <c r="G13" s="104">
        <v>-10908.15</v>
      </c>
      <c r="I13" s="91"/>
      <c r="J13" s="19"/>
      <c r="K13" s="102"/>
      <c r="L13" s="102"/>
      <c r="M13" s="103"/>
      <c r="N13" s="97"/>
      <c r="O13" s="104"/>
    </row>
    <row r="14" spans="1:15" ht="15.75" x14ac:dyDescent="0.25">
      <c r="B14" s="18" t="s">
        <v>56</v>
      </c>
      <c r="C14" s="102">
        <v>0</v>
      </c>
      <c r="D14" s="102">
        <v>252680</v>
      </c>
      <c r="E14" s="103">
        <f t="shared" si="0"/>
        <v>126.34</v>
      </c>
      <c r="F14" s="97">
        <f t="shared" si="1"/>
        <v>-127.74046224473642</v>
      </c>
      <c r="G14" s="104">
        <v>-16138.73</v>
      </c>
      <c r="I14" s="91"/>
      <c r="J14" s="19"/>
      <c r="K14" s="102"/>
      <c r="L14" s="102"/>
      <c r="M14" s="103"/>
      <c r="N14" s="97"/>
      <c r="O14" s="104"/>
    </row>
    <row r="15" spans="1:15" ht="15.75" x14ac:dyDescent="0.25">
      <c r="B15" s="19" t="s">
        <v>57</v>
      </c>
      <c r="C15" s="102">
        <v>0</v>
      </c>
      <c r="D15" s="102">
        <v>214880</v>
      </c>
      <c r="E15" s="103">
        <f t="shared" si="0"/>
        <v>107.44</v>
      </c>
      <c r="F15" s="97">
        <f t="shared" si="1"/>
        <v>-121.07092330603128</v>
      </c>
      <c r="G15" s="104">
        <v>-13007.86</v>
      </c>
      <c r="I15" s="91"/>
      <c r="J15" s="19"/>
      <c r="K15" s="102"/>
      <c r="L15" s="102"/>
      <c r="M15" s="103"/>
      <c r="N15" s="97"/>
      <c r="O15" s="104"/>
    </row>
    <row r="16" spans="1:15" ht="15.75" x14ac:dyDescent="0.25">
      <c r="B16" s="19" t="s">
        <v>58</v>
      </c>
      <c r="C16" s="102">
        <v>0</v>
      </c>
      <c r="D16" s="102">
        <v>237840</v>
      </c>
      <c r="E16" s="103">
        <f t="shared" si="0"/>
        <v>118.92</v>
      </c>
      <c r="F16" s="97">
        <f t="shared" si="1"/>
        <v>-103.00412041708712</v>
      </c>
      <c r="G16" s="104">
        <v>-12249.25</v>
      </c>
      <c r="I16" s="91"/>
      <c r="J16" s="19"/>
      <c r="K16" s="102"/>
      <c r="L16" s="102"/>
      <c r="M16" s="103"/>
      <c r="N16" s="97"/>
      <c r="O16" s="104"/>
    </row>
    <row r="17" spans="1:15" ht="15.75" x14ac:dyDescent="0.25">
      <c r="B17" s="19" t="s">
        <v>64</v>
      </c>
      <c r="C17" s="102">
        <v>0</v>
      </c>
      <c r="D17" s="102">
        <v>211670</v>
      </c>
      <c r="E17" s="103">
        <f t="shared" si="0"/>
        <v>105.83499999999999</v>
      </c>
      <c r="F17" s="97">
        <f t="shared" si="1"/>
        <v>-112.26078329475128</v>
      </c>
      <c r="G17" s="104">
        <v>-11881.12</v>
      </c>
      <c r="H17" s="91">
        <f>+H$8/J$8*$G17</f>
        <v>-9152.797848165339</v>
      </c>
      <c r="I17" s="91">
        <f>+I$8/J$8*$G17</f>
        <v>-2728.3221518346627</v>
      </c>
      <c r="J17" s="92">
        <f>+H17+I17</f>
        <v>-11881.120000000003</v>
      </c>
    </row>
    <row r="18" spans="1:15" ht="15.75" x14ac:dyDescent="0.25">
      <c r="B18" s="18" t="s">
        <v>65</v>
      </c>
      <c r="C18" s="102">
        <v>0</v>
      </c>
      <c r="D18" s="102">
        <v>212000</v>
      </c>
      <c r="E18" s="101">
        <f t="shared" ref="E18:E23" si="2">D18/2000</f>
        <v>106</v>
      </c>
      <c r="F18" s="97">
        <f t="shared" ref="F18:F23" si="3">G18/E18</f>
        <v>-97.643301886792457</v>
      </c>
      <c r="G18" s="104">
        <v>-10350.19</v>
      </c>
      <c r="H18" s="91">
        <f t="shared" ref="H18:H22" si="4">+H$8/J$8*$G18</f>
        <v>-7973.4231082677725</v>
      </c>
      <c r="I18" s="91">
        <f t="shared" ref="I18:I22" si="5">+I$8/J$8*$G18</f>
        <v>-2376.7668917322276</v>
      </c>
      <c r="J18" s="92">
        <f t="shared" ref="J18:J22" si="6">+H18+I18</f>
        <v>-10350.19</v>
      </c>
      <c r="K18" s="102"/>
      <c r="L18" s="102"/>
      <c r="M18" s="103"/>
      <c r="N18" s="97"/>
      <c r="O18" s="104"/>
    </row>
    <row r="19" spans="1:15" ht="15.75" x14ac:dyDescent="0.25">
      <c r="B19" s="18" t="s">
        <v>66</v>
      </c>
      <c r="C19" s="102">
        <v>0</v>
      </c>
      <c r="D19" s="102">
        <v>235000</v>
      </c>
      <c r="E19" s="103">
        <f t="shared" si="2"/>
        <v>117.5</v>
      </c>
      <c r="F19" s="97">
        <f t="shared" si="3"/>
        <v>-37.005872340425526</v>
      </c>
      <c r="G19" s="104">
        <v>-4348.1899999999996</v>
      </c>
      <c r="H19" s="91">
        <f t="shared" si="4"/>
        <v>-3349.6929645870118</v>
      </c>
      <c r="I19" s="91">
        <f t="shared" si="5"/>
        <v>-998.497035412988</v>
      </c>
      <c r="J19" s="92">
        <f t="shared" si="6"/>
        <v>-4348.1899999999996</v>
      </c>
      <c r="K19" s="102"/>
      <c r="L19" s="102"/>
      <c r="M19" s="103"/>
      <c r="N19" s="97"/>
      <c r="O19" s="104"/>
    </row>
    <row r="20" spans="1:15" ht="15.75" x14ac:dyDescent="0.25">
      <c r="B20" s="18" t="s">
        <v>67</v>
      </c>
      <c r="C20" s="102">
        <v>0</v>
      </c>
      <c r="D20" s="102">
        <v>206300</v>
      </c>
      <c r="E20" s="103">
        <f t="shared" si="2"/>
        <v>103.15</v>
      </c>
      <c r="F20" s="97">
        <f t="shared" si="3"/>
        <v>-243.07639360155113</v>
      </c>
      <c r="G20" s="104">
        <v>-25073.33</v>
      </c>
      <c r="H20" s="91">
        <f>+H$8/J$8*$G20</f>
        <v>-19315.613416103821</v>
      </c>
      <c r="I20" s="91">
        <f t="shared" si="5"/>
        <v>-5757.7165838961819</v>
      </c>
      <c r="J20" s="92">
        <f t="shared" si="6"/>
        <v>-25073.33</v>
      </c>
      <c r="K20" s="102"/>
      <c r="L20" s="102"/>
      <c r="M20" s="103"/>
      <c r="N20" s="97"/>
      <c r="O20" s="104"/>
    </row>
    <row r="21" spans="1:15" ht="15.75" x14ac:dyDescent="0.25">
      <c r="B21" s="18" t="s">
        <v>68</v>
      </c>
      <c r="C21" s="102">
        <v>0</v>
      </c>
      <c r="D21" s="102">
        <v>212820</v>
      </c>
      <c r="E21" s="103">
        <f t="shared" si="2"/>
        <v>106.41</v>
      </c>
      <c r="F21" s="97">
        <f t="shared" si="3"/>
        <v>-82.872474391504554</v>
      </c>
      <c r="G21" s="104">
        <v>-8818.4599999999991</v>
      </c>
      <c r="H21" s="91">
        <f t="shared" si="4"/>
        <v>-6793.4320764483564</v>
      </c>
      <c r="I21" s="91">
        <f t="shared" si="5"/>
        <v>-2025.027923551643</v>
      </c>
      <c r="J21" s="92">
        <f t="shared" si="6"/>
        <v>-8818.4599999999991</v>
      </c>
      <c r="K21" s="102"/>
      <c r="L21" s="102"/>
      <c r="M21" s="103"/>
      <c r="N21" s="97"/>
      <c r="O21" s="104"/>
    </row>
    <row r="22" spans="1:15" ht="15.75" x14ac:dyDescent="0.25">
      <c r="B22" s="19" t="s">
        <v>69</v>
      </c>
      <c r="C22" s="102">
        <v>0</v>
      </c>
      <c r="D22" s="102">
        <v>250340</v>
      </c>
      <c r="E22" s="103">
        <f t="shared" si="2"/>
        <v>125.17</v>
      </c>
      <c r="F22" s="97">
        <f t="shared" si="3"/>
        <v>-124.95022769034114</v>
      </c>
      <c r="G22" s="104">
        <v>-15640.02</v>
      </c>
      <c r="H22" s="163">
        <f t="shared" si="4"/>
        <v>-12048.522479468505</v>
      </c>
      <c r="I22" s="163">
        <f t="shared" si="5"/>
        <v>-3591.4975205314954</v>
      </c>
      <c r="J22" s="92">
        <f t="shared" si="6"/>
        <v>-15640.02</v>
      </c>
      <c r="K22" s="102"/>
      <c r="L22" s="102"/>
      <c r="M22" s="103"/>
      <c r="N22" s="97"/>
      <c r="O22" s="104"/>
    </row>
    <row r="23" spans="1:15" ht="15.75" x14ac:dyDescent="0.25">
      <c r="B23" s="19" t="s">
        <v>70</v>
      </c>
      <c r="C23" s="102"/>
      <c r="D23" s="102"/>
      <c r="E23" s="103"/>
      <c r="F23" s="97"/>
      <c r="G23" s="104"/>
      <c r="H23" s="91">
        <f>SUM(H17:H22)</f>
        <v>-58633.481893040807</v>
      </c>
      <c r="I23" s="91">
        <f>SUM(I17:I22)</f>
        <v>-17477.828106959198</v>
      </c>
      <c r="J23" s="19"/>
      <c r="K23" s="102"/>
      <c r="L23" s="102"/>
      <c r="M23" s="103"/>
      <c r="N23" s="97"/>
      <c r="O23" s="104"/>
    </row>
    <row r="24" spans="1:15" ht="15.75" x14ac:dyDescent="0.25">
      <c r="B24" s="19"/>
      <c r="C24" s="106"/>
      <c r="D24" s="106"/>
      <c r="E24" s="107"/>
      <c r="F24" s="98"/>
      <c r="G24" s="108"/>
      <c r="I24" s="91"/>
      <c r="J24" s="92"/>
    </row>
    <row r="25" spans="1:15" ht="15.75" x14ac:dyDescent="0.25">
      <c r="A25" t="s">
        <v>8</v>
      </c>
      <c r="B25" s="4"/>
      <c r="C25" s="20">
        <f>SUM(C11:C16)</f>
        <v>0</v>
      </c>
      <c r="D25" s="20">
        <f>SUM(D17:D22)</f>
        <v>1328130</v>
      </c>
      <c r="E25" s="22">
        <f>SUM(E17:E22)</f>
        <v>664.06499999999994</v>
      </c>
      <c r="F25" s="88"/>
      <c r="G25" s="21">
        <f>SUM(G17:G23)</f>
        <v>-76111.31</v>
      </c>
    </row>
    <row r="26" spans="1:15" ht="15.75" x14ac:dyDescent="0.25">
      <c r="B26" s="14"/>
      <c r="C26" s="15"/>
      <c r="D26" s="16"/>
      <c r="E26" s="17" t="s">
        <v>0</v>
      </c>
      <c r="F26" s="89"/>
      <c r="G26" s="13"/>
    </row>
    <row r="27" spans="1:15" ht="15.75" x14ac:dyDescent="0.25">
      <c r="B27" s="14"/>
      <c r="C27" s="15"/>
      <c r="D27" s="16"/>
      <c r="E27" s="17"/>
      <c r="F27" s="89"/>
      <c r="G27" s="115">
        <f>SUM(G17:G22)</f>
        <v>-76111.31</v>
      </c>
    </row>
    <row r="28" spans="1:15" ht="15.75" x14ac:dyDescent="0.25">
      <c r="B28" s="14"/>
      <c r="C28" s="15"/>
      <c r="D28" s="16"/>
      <c r="E28" s="17"/>
      <c r="F28" s="89"/>
      <c r="G28" s="13"/>
    </row>
    <row r="29" spans="1:15" x14ac:dyDescent="0.25">
      <c r="E29" s="84"/>
      <c r="F29" s="90"/>
    </row>
    <row r="30" spans="1:15" x14ac:dyDescent="0.25">
      <c r="E30" s="84"/>
      <c r="F30" s="90"/>
    </row>
    <row r="31" spans="1:15" x14ac:dyDescent="0.25">
      <c r="E31" s="84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D11" sqref="D11"/>
    </sheetView>
  </sheetViews>
  <sheetFormatPr defaultRowHeight="15" x14ac:dyDescent="0.25"/>
  <cols>
    <col min="1" max="1" width="3.28515625" customWidth="1"/>
    <col min="2" max="2" width="11.5703125" customWidth="1"/>
    <col min="3" max="3" width="16.42578125" customWidth="1"/>
    <col min="4" max="6" width="12.7109375" customWidth="1"/>
    <col min="7" max="7" width="5.7109375" customWidth="1"/>
  </cols>
  <sheetData>
    <row r="1" spans="1:7" ht="23.25" x14ac:dyDescent="0.35">
      <c r="A1" s="173" t="s">
        <v>22</v>
      </c>
      <c r="B1" s="173"/>
      <c r="C1" s="173"/>
      <c r="D1" s="173"/>
      <c r="E1" s="173"/>
      <c r="F1" s="173"/>
      <c r="G1" s="173"/>
    </row>
    <row r="2" spans="1:7" ht="18" x14ac:dyDescent="0.25">
      <c r="A2" s="174" t="s">
        <v>24</v>
      </c>
      <c r="B2" s="174"/>
      <c r="C2" s="174"/>
      <c r="D2" s="174"/>
      <c r="E2" s="174"/>
      <c r="F2" s="174"/>
      <c r="G2" s="174"/>
    </row>
    <row r="3" spans="1:7" ht="15.75" x14ac:dyDescent="0.25">
      <c r="A3" s="175" t="s">
        <v>59</v>
      </c>
      <c r="B3" s="175"/>
      <c r="C3" s="175"/>
      <c r="D3" s="175"/>
      <c r="E3" s="175"/>
      <c r="F3" s="175"/>
      <c r="G3" s="175"/>
    </row>
    <row r="4" spans="1:7" x14ac:dyDescent="0.25">
      <c r="A4" s="1"/>
      <c r="B4" s="1"/>
      <c r="C4" s="2"/>
      <c r="D4" s="1"/>
      <c r="E4" s="162"/>
      <c r="F4" s="3"/>
    </row>
    <row r="5" spans="1:7" x14ac:dyDescent="0.25">
      <c r="A5" s="1"/>
      <c r="B5" s="1"/>
      <c r="C5" s="155"/>
      <c r="D5" s="154"/>
      <c r="E5" s="154"/>
      <c r="F5" s="156"/>
    </row>
    <row r="6" spans="1:7" x14ac:dyDescent="0.25">
      <c r="A6" s="1"/>
      <c r="B6" s="1"/>
      <c r="C6" s="2"/>
      <c r="D6" s="1"/>
      <c r="E6" s="162"/>
      <c r="F6" s="3"/>
    </row>
    <row r="7" spans="1:7" ht="15" customHeight="1" x14ac:dyDescent="0.25">
      <c r="A7" s="1"/>
      <c r="B7" s="1"/>
      <c r="C7" s="2"/>
      <c r="D7" s="1"/>
      <c r="E7" s="162"/>
      <c r="F7" s="3"/>
    </row>
    <row r="8" spans="1:7" ht="15.75" x14ac:dyDescent="0.25">
      <c r="B8" s="4" t="s">
        <v>26</v>
      </c>
      <c r="C8" s="5" t="s">
        <v>7</v>
      </c>
      <c r="D8" s="4" t="s">
        <v>31</v>
      </c>
      <c r="E8" s="4" t="s">
        <v>86</v>
      </c>
      <c r="F8" s="4" t="s">
        <v>84</v>
      </c>
    </row>
    <row r="9" spans="1:7" ht="16.5" thickBot="1" x14ac:dyDescent="0.3">
      <c r="B9" s="6"/>
      <c r="C9" s="7"/>
      <c r="D9" s="6" t="s">
        <v>83</v>
      </c>
      <c r="E9" s="6" t="s">
        <v>83</v>
      </c>
      <c r="F9" s="6"/>
    </row>
    <row r="10" spans="1:7" ht="16.5" thickTop="1" x14ac:dyDescent="0.25">
      <c r="B10" s="9"/>
      <c r="C10" s="10"/>
      <c r="D10" s="10"/>
      <c r="E10" s="10"/>
      <c r="F10" s="11"/>
    </row>
    <row r="11" spans="1:7" ht="15.75" x14ac:dyDescent="0.25">
      <c r="B11" s="19" t="s">
        <v>9</v>
      </c>
      <c r="C11" s="99">
        <v>5141</v>
      </c>
      <c r="D11" s="111">
        <f>+C11*2.17</f>
        <v>11155.97</v>
      </c>
      <c r="E11" s="111">
        <f>+D11*12</f>
        <v>133871.63999999998</v>
      </c>
      <c r="F11" s="86" t="s">
        <v>87</v>
      </c>
    </row>
    <row r="12" spans="1:7" ht="15.75" x14ac:dyDescent="0.25">
      <c r="B12" s="19" t="s">
        <v>71</v>
      </c>
      <c r="C12" s="99">
        <v>768</v>
      </c>
      <c r="D12" s="111">
        <f>+C12*4.33</f>
        <v>3325.44</v>
      </c>
      <c r="E12" s="100">
        <f>+D12*12</f>
        <v>39905.279999999999</v>
      </c>
      <c r="F12" s="87" t="s">
        <v>85</v>
      </c>
    </row>
    <row r="13" spans="1:7" ht="15.75" x14ac:dyDescent="0.25">
      <c r="B13" s="19"/>
      <c r="C13" s="105"/>
      <c r="D13" s="111"/>
      <c r="E13" s="111"/>
      <c r="F13" s="98"/>
    </row>
    <row r="14" spans="1:7" ht="15.75" x14ac:dyDescent="0.25">
      <c r="A14" t="s">
        <v>8</v>
      </c>
      <c r="B14" s="12"/>
      <c r="C14" s="85">
        <f>SUM(C11:C13)</f>
        <v>5909</v>
      </c>
      <c r="D14" s="20">
        <f>SUM(D13:D13)</f>
        <v>0</v>
      </c>
      <c r="E14" s="20"/>
      <c r="F14" s="88"/>
    </row>
    <row r="15" spans="1:7" ht="15.75" x14ac:dyDescent="0.25">
      <c r="B15" s="9"/>
      <c r="C15" s="14"/>
      <c r="D15" s="15"/>
      <c r="E15" s="15"/>
      <c r="F15" s="17" t="s">
        <v>0</v>
      </c>
    </row>
    <row r="16" spans="1:7" ht="15.75" x14ac:dyDescent="0.25">
      <c r="B16" s="83">
        <v>2019</v>
      </c>
      <c r="C16" s="14"/>
      <c r="D16" s="15"/>
      <c r="E16" s="15"/>
      <c r="F16" s="17" t="s">
        <v>0</v>
      </c>
    </row>
    <row r="17" spans="3:6" x14ac:dyDescent="0.25">
      <c r="C17" s="112"/>
      <c r="D17" s="112"/>
      <c r="E17" s="112"/>
      <c r="F17" s="110"/>
    </row>
    <row r="18" spans="3:6" x14ac:dyDescent="0.25">
      <c r="C18" s="138"/>
      <c r="D18" s="109">
        <f>+D11*6</f>
        <v>66935.819999999992</v>
      </c>
      <c r="E18" s="109"/>
      <c r="F18" s="110"/>
    </row>
    <row r="19" spans="3:6" x14ac:dyDescent="0.25">
      <c r="C19" s="112"/>
      <c r="D19" s="109">
        <f>+D12*6</f>
        <v>19952.64</v>
      </c>
      <c r="E19" s="109"/>
      <c r="F19" s="110"/>
    </row>
    <row r="20" spans="3:6" x14ac:dyDescent="0.25">
      <c r="C20" s="112"/>
      <c r="D20" s="109"/>
      <c r="E20" s="109"/>
      <c r="F20" s="113"/>
    </row>
    <row r="21" spans="3:6" ht="15.75" x14ac:dyDescent="0.25">
      <c r="C21" s="14"/>
      <c r="D21" s="15"/>
      <c r="E21" s="15"/>
      <c r="F21" s="17" t="s">
        <v>0</v>
      </c>
    </row>
    <row r="22" spans="3:6" ht="15.75" x14ac:dyDescent="0.25">
      <c r="C22" s="14"/>
      <c r="D22" s="15"/>
      <c r="E22" s="15"/>
      <c r="F22" s="17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scale="8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T61"/>
  <sheetViews>
    <sheetView zoomScaleNormal="100" workbookViewId="0">
      <selection activeCell="I29" sqref="I29"/>
    </sheetView>
  </sheetViews>
  <sheetFormatPr defaultRowHeight="15" x14ac:dyDescent="0.25"/>
  <cols>
    <col min="11" max="11" width="9.42578125" customWidth="1"/>
    <col min="12" max="12" width="9.5703125" bestFit="1" customWidth="1"/>
    <col min="17" max="17" width="16" customWidth="1"/>
    <col min="18" max="18" width="9.7109375" bestFit="1" customWidth="1"/>
    <col min="20" max="20" width="9.7109375" bestFit="1" customWidth="1"/>
  </cols>
  <sheetData>
    <row r="4" spans="1:20" x14ac:dyDescent="0.25">
      <c r="F4" s="136" t="s">
        <v>46</v>
      </c>
      <c r="G4" s="136"/>
      <c r="H4" s="136"/>
      <c r="I4" s="136"/>
      <c r="J4" s="136"/>
      <c r="K4" s="136"/>
      <c r="L4" s="136"/>
      <c r="M4" s="136"/>
      <c r="N4" s="136"/>
      <c r="O4" s="139"/>
    </row>
    <row r="5" spans="1:20" x14ac:dyDescent="0.25">
      <c r="F5" s="1"/>
      <c r="G5" s="1"/>
      <c r="H5" s="1"/>
      <c r="I5" s="1"/>
      <c r="J5" s="154"/>
      <c r="K5" s="154"/>
      <c r="L5" s="154"/>
      <c r="M5" s="1"/>
    </row>
    <row r="6" spans="1:20" x14ac:dyDescent="0.25">
      <c r="A6" s="116"/>
      <c r="B6" s="116"/>
      <c r="C6" s="116"/>
      <c r="D6" s="117">
        <v>43497</v>
      </c>
      <c r="E6" s="117">
        <v>43525</v>
      </c>
      <c r="F6" s="117">
        <v>43556</v>
      </c>
      <c r="G6" s="117">
        <v>43586</v>
      </c>
      <c r="H6" s="117">
        <v>43617</v>
      </c>
      <c r="I6" s="117">
        <v>43647</v>
      </c>
      <c r="J6" s="117">
        <v>43678</v>
      </c>
      <c r="K6" s="117">
        <v>43709</v>
      </c>
      <c r="L6" s="117">
        <v>43739</v>
      </c>
      <c r="M6" s="117">
        <v>43770</v>
      </c>
      <c r="N6" s="117">
        <v>43800</v>
      </c>
      <c r="O6" s="117">
        <v>43831</v>
      </c>
      <c r="P6" s="117"/>
      <c r="Q6" s="118" t="s">
        <v>32</v>
      </c>
      <c r="R6" s="119" t="s">
        <v>33</v>
      </c>
    </row>
    <row r="7" spans="1:20" x14ac:dyDescent="0.25">
      <c r="A7" s="120"/>
      <c r="B7" s="120"/>
      <c r="C7" s="120"/>
      <c r="D7" s="120"/>
      <c r="E7" s="120"/>
      <c r="F7" s="120"/>
      <c r="G7" s="120"/>
      <c r="H7" s="120"/>
      <c r="I7" s="143"/>
      <c r="J7" s="120"/>
      <c r="K7" s="120"/>
      <c r="L7" s="120"/>
      <c r="M7" s="120"/>
      <c r="N7" s="120"/>
      <c r="O7" s="143"/>
      <c r="P7" s="143"/>
      <c r="Q7" s="143"/>
      <c r="R7" s="144"/>
      <c r="S7" s="90"/>
    </row>
    <row r="8" spans="1:20" x14ac:dyDescent="0.25">
      <c r="A8" s="122" t="s">
        <v>34</v>
      </c>
      <c r="B8" s="122"/>
      <c r="C8" s="122"/>
      <c r="D8" s="123">
        <f>+'Aug 19 - Jan 20'!E11</f>
        <v>109.46</v>
      </c>
      <c r="E8" s="123">
        <f>+'Aug 19 - Jan 20'!E12</f>
        <v>122.5</v>
      </c>
      <c r="F8" s="123">
        <f>+'Aug 19 - Jan 20'!E13</f>
        <v>139.74</v>
      </c>
      <c r="G8" s="123">
        <f>+'Aug 19 - Jan 20'!E14</f>
        <v>126.34</v>
      </c>
      <c r="H8" s="123">
        <f>+'Aug 19 - Jan 20'!E15</f>
        <v>107.44</v>
      </c>
      <c r="I8" s="145">
        <f>+'Aug 19 - Jan 20'!E16</f>
        <v>118.92</v>
      </c>
      <c r="J8" s="123">
        <f>+'Aug 19 - Jan 20'!E17</f>
        <v>105.83499999999999</v>
      </c>
      <c r="K8" s="123">
        <f>+'Aug 19 - Jan 20'!E18</f>
        <v>106</v>
      </c>
      <c r="L8" s="123">
        <f>+'Aug 19 - Jan 20'!E19</f>
        <v>117.5</v>
      </c>
      <c r="M8" s="123">
        <f>+'Aug 19 - Jan 20'!E20</f>
        <v>103.15</v>
      </c>
      <c r="N8" s="123">
        <f>+'Aug 19 - Jan 20'!E21</f>
        <v>106.41</v>
      </c>
      <c r="O8" s="145">
        <f>+'Aug 19 - Jan 20'!E22</f>
        <v>125.17</v>
      </c>
      <c r="P8" s="145"/>
      <c r="Q8" s="145">
        <f>SUM(D8:O8)</f>
        <v>1388.4650000000004</v>
      </c>
      <c r="R8" s="144"/>
      <c r="S8" s="90"/>
    </row>
    <row r="9" spans="1:20" x14ac:dyDescent="0.25">
      <c r="A9" s="122"/>
      <c r="B9" s="122"/>
      <c r="C9" s="122"/>
      <c r="D9" s="122"/>
      <c r="E9" s="122"/>
      <c r="F9" s="122"/>
      <c r="G9" s="122"/>
      <c r="H9" s="122"/>
      <c r="I9" s="146"/>
      <c r="J9" s="122"/>
      <c r="K9" s="122"/>
      <c r="L9" s="122"/>
      <c r="M9" s="122"/>
      <c r="N9" s="122"/>
      <c r="O9" s="146"/>
      <c r="P9" s="143"/>
      <c r="Q9" s="143"/>
      <c r="R9" s="144"/>
      <c r="S9" s="90"/>
    </row>
    <row r="10" spans="1:20" x14ac:dyDescent="0.25">
      <c r="A10" s="122" t="s">
        <v>76</v>
      </c>
      <c r="B10" s="122"/>
      <c r="C10" s="122"/>
      <c r="D10" s="124">
        <v>7743</v>
      </c>
      <c r="E10" s="124">
        <v>7743</v>
      </c>
      <c r="F10" s="124">
        <v>7743</v>
      </c>
      <c r="G10" s="124">
        <v>7743</v>
      </c>
      <c r="H10" s="124">
        <v>7743</v>
      </c>
      <c r="I10" s="124">
        <v>7743</v>
      </c>
      <c r="J10" s="124">
        <f>+'Commodity Debit'!C14</f>
        <v>5909</v>
      </c>
      <c r="K10" s="124">
        <f>+J10</f>
        <v>5909</v>
      </c>
      <c r="L10" s="124">
        <f>+J10</f>
        <v>5909</v>
      </c>
      <c r="M10" s="124">
        <f>+J10</f>
        <v>5909</v>
      </c>
      <c r="N10" s="124">
        <f>+J10</f>
        <v>5909</v>
      </c>
      <c r="O10" s="147">
        <f>+J10</f>
        <v>5909</v>
      </c>
      <c r="P10" s="147"/>
      <c r="Q10" s="145">
        <f>SUM(D10:O10)</f>
        <v>81912</v>
      </c>
      <c r="R10" s="148">
        <f>SUM(J10:O10)</f>
        <v>35454</v>
      </c>
      <c r="S10" s="90"/>
    </row>
    <row r="11" spans="1:20" x14ac:dyDescent="0.25">
      <c r="A11" s="122"/>
      <c r="B11" s="122"/>
      <c r="C11" s="122"/>
      <c r="D11" s="122"/>
      <c r="E11" s="157"/>
      <c r="F11" s="122"/>
      <c r="G11" s="122"/>
      <c r="H11" s="122"/>
      <c r="I11" s="146"/>
      <c r="J11" s="122"/>
      <c r="K11" s="122"/>
      <c r="L11" s="122"/>
      <c r="M11" s="122"/>
      <c r="N11" s="122"/>
      <c r="O11" s="146"/>
      <c r="P11" s="143"/>
      <c r="Q11" s="143"/>
      <c r="R11" s="144"/>
      <c r="S11" s="90"/>
    </row>
    <row r="12" spans="1:20" x14ac:dyDescent="0.25">
      <c r="A12" s="122" t="s">
        <v>89</v>
      </c>
      <c r="B12" s="122"/>
      <c r="C12" s="122"/>
      <c r="D12" s="126">
        <f t="shared" ref="D12:I12" si="0">D8/D10</f>
        <v>1.4136639545395841E-2</v>
      </c>
      <c r="E12" s="126">
        <f t="shared" si="0"/>
        <v>1.5820741314735889E-2</v>
      </c>
      <c r="F12" s="126">
        <f t="shared" si="0"/>
        <v>1.8047268500581172E-2</v>
      </c>
      <c r="G12" s="126">
        <f t="shared" si="0"/>
        <v>1.6316673124112103E-2</v>
      </c>
      <c r="H12" s="126">
        <f t="shared" si="0"/>
        <v>1.3875758749838563E-2</v>
      </c>
      <c r="I12" s="149">
        <f t="shared" si="0"/>
        <v>1.5358388221619527E-2</v>
      </c>
      <c r="J12" s="126">
        <f t="shared" ref="J12" si="1">J8/J10</f>
        <v>1.7910814012523268E-2</v>
      </c>
      <c r="K12" s="126">
        <f>K8/K10</f>
        <v>1.7938737519038756E-2</v>
      </c>
      <c r="L12" s="126">
        <f t="shared" ref="L12:O12" si="2">L8/L10</f>
        <v>1.9884921306481639E-2</v>
      </c>
      <c r="M12" s="126">
        <f t="shared" si="2"/>
        <v>1.7456422406498563E-2</v>
      </c>
      <c r="N12" s="126">
        <f t="shared" si="2"/>
        <v>1.8008123201895414E-2</v>
      </c>
      <c r="O12" s="149">
        <f t="shared" si="2"/>
        <v>2.1182941276019631E-2</v>
      </c>
      <c r="P12" s="149"/>
      <c r="Q12" s="150">
        <f>SUM(D12:O12)/12</f>
        <v>1.7161452431561697E-2</v>
      </c>
      <c r="R12" s="144"/>
      <c r="S12" s="90"/>
    </row>
    <row r="13" spans="1:20" x14ac:dyDescent="0.25">
      <c r="A13" s="122"/>
      <c r="B13" s="122"/>
      <c r="C13" s="122"/>
      <c r="D13" s="122"/>
      <c r="E13" s="122"/>
      <c r="F13" s="122"/>
      <c r="G13" s="122"/>
      <c r="H13" s="122"/>
      <c r="I13" s="146"/>
      <c r="J13" s="122"/>
      <c r="K13" s="122"/>
      <c r="L13" s="122"/>
      <c r="M13" s="122"/>
      <c r="N13" s="122"/>
      <c r="O13" s="146"/>
      <c r="P13" s="143"/>
      <c r="Q13" s="143"/>
      <c r="R13" s="144"/>
      <c r="S13" s="90"/>
    </row>
    <row r="14" spans="1:20" x14ac:dyDescent="0.25">
      <c r="A14" s="122" t="s">
        <v>35</v>
      </c>
      <c r="B14" s="122"/>
      <c r="C14" s="122"/>
      <c r="D14" s="123">
        <f>+'Aug 19 - Jan 20'!F11</f>
        <v>-115.04969852000731</v>
      </c>
      <c r="E14" s="123">
        <f>+'Aug 19 - Jan 20'!F12</f>
        <v>-108.17134693877551</v>
      </c>
      <c r="F14" s="123">
        <f>+'Aug 19 - Jan 20'!F13</f>
        <v>-78.060326320309144</v>
      </c>
      <c r="G14" s="123">
        <f>+'Aug 19 - Jan 20'!F15</f>
        <v>-121.07092330603128</v>
      </c>
      <c r="H14" s="123">
        <f>+'Aug 19 - Jan 20'!F15</f>
        <v>-121.07092330603128</v>
      </c>
      <c r="I14" s="145">
        <f>+'Aug 19 - Jan 20'!F16</f>
        <v>-103.00412041708712</v>
      </c>
      <c r="J14" s="123">
        <f>+'Aug 19 - Jan 20'!F17</f>
        <v>-112.26078329475128</v>
      </c>
      <c r="K14" s="123">
        <f>+'Aug 19 - Jan 20'!F18</f>
        <v>-97.643301886792457</v>
      </c>
      <c r="L14" s="123">
        <f>+'Aug 19 - Jan 20'!F19</f>
        <v>-37.005872340425526</v>
      </c>
      <c r="M14" s="123">
        <f>+'Aug 19 - Jan 20'!F20</f>
        <v>-243.07639360155113</v>
      </c>
      <c r="N14" s="123">
        <f>+'Aug 19 - Jan 20'!F21</f>
        <v>-82.872474391504554</v>
      </c>
      <c r="O14" s="145">
        <f>+'Aug 19 - Jan 20'!F22</f>
        <v>-124.95022769034114</v>
      </c>
      <c r="P14" s="145"/>
      <c r="Q14" s="143"/>
      <c r="R14" s="144"/>
      <c r="S14" s="90"/>
      <c r="T14">
        <f>+M10*4</f>
        <v>23636</v>
      </c>
    </row>
    <row r="15" spans="1:20" x14ac:dyDescent="0.25">
      <c r="A15" s="122"/>
      <c r="B15" s="122"/>
      <c r="C15" s="122"/>
      <c r="D15" s="122"/>
      <c r="E15" s="122"/>
      <c r="F15" s="122"/>
      <c r="G15" s="122"/>
      <c r="H15" s="122"/>
      <c r="I15" s="146"/>
      <c r="J15" s="122"/>
      <c r="K15" s="122"/>
      <c r="L15" s="122"/>
      <c r="M15" s="122"/>
      <c r="N15" s="122"/>
      <c r="O15" s="146"/>
      <c r="P15" s="145"/>
      <c r="Q15" s="143"/>
      <c r="R15" s="144"/>
      <c r="S15" s="90"/>
    </row>
    <row r="16" spans="1:20" x14ac:dyDescent="0.25">
      <c r="A16" s="122" t="s">
        <v>36</v>
      </c>
      <c r="B16" s="122"/>
      <c r="C16" s="122"/>
      <c r="D16" s="123">
        <f t="shared" ref="D16:I16" si="3">D12*D14</f>
        <v>-1.6264161177838048</v>
      </c>
      <c r="E16" s="123">
        <f t="shared" si="3"/>
        <v>-1.7113508975849154</v>
      </c>
      <c r="F16" s="123">
        <f t="shared" si="3"/>
        <v>-1.4087756683456025</v>
      </c>
      <c r="G16" s="123">
        <f t="shared" si="3"/>
        <v>-1.9754746804189582</v>
      </c>
      <c r="H16" s="123">
        <f t="shared" si="3"/>
        <v>-1.679950923414697</v>
      </c>
      <c r="I16" s="145">
        <f t="shared" si="3"/>
        <v>-1.5819772697920704</v>
      </c>
      <c r="J16" s="123">
        <f>J12*J14</f>
        <v>-2.0106820104924692</v>
      </c>
      <c r="K16" s="123">
        <f>K12*K14</f>
        <v>-1.7515975630394316</v>
      </c>
      <c r="L16" s="123">
        <f t="shared" ref="L16:O16" si="4">L12*L14</f>
        <v>-0.73585885936706708</v>
      </c>
      <c r="M16" s="123">
        <f t="shared" si="4"/>
        <v>-4.2432442037569809</v>
      </c>
      <c r="N16" s="123">
        <f t="shared" si="4"/>
        <v>-1.4923777288881368</v>
      </c>
      <c r="O16" s="145">
        <f t="shared" si="4"/>
        <v>-2.6468133355897785</v>
      </c>
      <c r="P16" s="145"/>
      <c r="Q16" s="143"/>
      <c r="R16" s="144"/>
      <c r="S16" s="90"/>
    </row>
    <row r="17" spans="1:20" x14ac:dyDescent="0.25">
      <c r="A17" s="122" t="s">
        <v>37</v>
      </c>
      <c r="B17" s="122"/>
      <c r="C17" s="122"/>
      <c r="D17" s="123">
        <v>-1.59</v>
      </c>
      <c r="E17" s="123">
        <f t="shared" ref="E17" si="5">+D17</f>
        <v>-1.59</v>
      </c>
      <c r="F17" s="123">
        <v>-1.47</v>
      </c>
      <c r="G17" s="123">
        <f>+F17</f>
        <v>-1.47</v>
      </c>
      <c r="H17" s="123">
        <f t="shared" ref="H17" si="6">+G17</f>
        <v>-1.47</v>
      </c>
      <c r="I17" s="123">
        <f t="shared" ref="I17" si="7">+H17</f>
        <v>-1.47</v>
      </c>
      <c r="J17" s="123">
        <f t="shared" ref="J17" si="8">+I17</f>
        <v>-1.47</v>
      </c>
      <c r="K17" s="123">
        <f>+J17</f>
        <v>-1.47</v>
      </c>
      <c r="L17" s="123">
        <v>-1.68</v>
      </c>
      <c r="M17" s="123">
        <f>+L17</f>
        <v>-1.68</v>
      </c>
      <c r="N17" s="123">
        <f t="shared" ref="N17:O17" si="9">+M17</f>
        <v>-1.68</v>
      </c>
      <c r="O17" s="123">
        <f t="shared" si="9"/>
        <v>-1.68</v>
      </c>
      <c r="P17" s="145"/>
      <c r="Q17" s="143"/>
      <c r="R17" s="144"/>
      <c r="S17" s="90"/>
    </row>
    <row r="18" spans="1:20" x14ac:dyDescent="0.25">
      <c r="A18" s="120"/>
      <c r="B18" s="120"/>
      <c r="C18" s="120"/>
      <c r="D18" s="120"/>
      <c r="E18" s="120"/>
      <c r="F18" s="120"/>
      <c r="G18" s="120"/>
      <c r="H18" s="120"/>
      <c r="I18" s="143"/>
      <c r="J18" s="120"/>
      <c r="K18" s="120"/>
      <c r="L18" s="120"/>
      <c r="M18" s="120"/>
      <c r="N18" s="120"/>
      <c r="O18" s="143"/>
      <c r="P18" s="145"/>
      <c r="Q18" s="143"/>
      <c r="R18" s="144"/>
      <c r="S18" s="90"/>
    </row>
    <row r="19" spans="1:20" x14ac:dyDescent="0.25">
      <c r="A19" s="122" t="s">
        <v>38</v>
      </c>
      <c r="B19" s="122"/>
      <c r="C19" s="122"/>
      <c r="D19" s="128">
        <f>+D17*D10</f>
        <v>-12311.37</v>
      </c>
      <c r="E19" s="128">
        <f t="shared" ref="E19" si="10">+E17*E10</f>
        <v>-12311.37</v>
      </c>
      <c r="F19" s="128">
        <f t="shared" ref="F19:O19" si="11">+F17*F10</f>
        <v>-11382.21</v>
      </c>
      <c r="G19" s="128">
        <f t="shared" si="11"/>
        <v>-11382.21</v>
      </c>
      <c r="H19" s="128">
        <f t="shared" si="11"/>
        <v>-11382.21</v>
      </c>
      <c r="I19" s="151">
        <f t="shared" si="11"/>
        <v>-11382.21</v>
      </c>
      <c r="J19" s="128">
        <f t="shared" si="11"/>
        <v>-8686.23</v>
      </c>
      <c r="K19" s="128">
        <f t="shared" si="11"/>
        <v>-8686.23</v>
      </c>
      <c r="L19" s="128">
        <f t="shared" si="11"/>
        <v>-9927.119999999999</v>
      </c>
      <c r="M19" s="128">
        <f t="shared" si="11"/>
        <v>-9927.119999999999</v>
      </c>
      <c r="N19" s="128">
        <f t="shared" si="11"/>
        <v>-9927.119999999999</v>
      </c>
      <c r="O19" s="151">
        <f t="shared" si="11"/>
        <v>-9927.119999999999</v>
      </c>
      <c r="P19" s="151"/>
      <c r="Q19" s="152">
        <f>SUM(D19:O19)</f>
        <v>-127232.51999999996</v>
      </c>
      <c r="R19" s="153">
        <f>SUM(J19:O19)</f>
        <v>-57080.939999999988</v>
      </c>
      <c r="S19" s="164"/>
    </row>
    <row r="20" spans="1:20" x14ac:dyDescent="0.25">
      <c r="A20" s="122" t="s">
        <v>39</v>
      </c>
      <c r="B20" s="122"/>
      <c r="C20" s="122"/>
      <c r="D20" s="128">
        <f>+'Aug 19 - Jan 20'!G11</f>
        <v>-12593.34</v>
      </c>
      <c r="E20" s="128">
        <f>+'Aug 19 - Jan 20'!G12</f>
        <v>-13250.99</v>
      </c>
      <c r="F20" s="128">
        <f>+'Aug 19 - Jan 20'!G13</f>
        <v>-10908.15</v>
      </c>
      <c r="G20" s="128">
        <f>+'Aug 19 - Jan 20'!G14</f>
        <v>-16138.73</v>
      </c>
      <c r="H20" s="128">
        <f>+'Aug 19 - Jan 20'!G15</f>
        <v>-13007.86</v>
      </c>
      <c r="I20" s="151">
        <f>+'Aug 19 - Jan 20'!G16</f>
        <v>-12249.25</v>
      </c>
      <c r="J20" s="128">
        <f>+'Aug 19 - Jan 20'!G17</f>
        <v>-11881.12</v>
      </c>
      <c r="K20" s="128">
        <f>+'Aug 19 - Jan 20'!G18</f>
        <v>-10350.19</v>
      </c>
      <c r="L20" s="128">
        <f>+'Aug 19 - Jan 20'!G19</f>
        <v>-4348.1899999999996</v>
      </c>
      <c r="M20" s="128">
        <f>+'Aug 19 - Jan 20'!G20</f>
        <v>-25073.33</v>
      </c>
      <c r="N20" s="128">
        <f>+'Aug 19 - Jan 20'!G21</f>
        <v>-8818.4599999999991</v>
      </c>
      <c r="O20" s="151">
        <f>+'Aug 19 - Jan 20'!G22</f>
        <v>-15640.02</v>
      </c>
      <c r="P20" s="151"/>
      <c r="Q20" s="152">
        <f>SUM(D20:O20)</f>
        <v>-154259.63</v>
      </c>
      <c r="R20" s="153">
        <f>SUM(J20:O20)</f>
        <v>-76111.31</v>
      </c>
      <c r="S20" s="90"/>
      <c r="T20" s="137"/>
    </row>
    <row r="21" spans="1:20" x14ac:dyDescent="0.25">
      <c r="A21" s="122" t="s">
        <v>40</v>
      </c>
      <c r="B21" s="122"/>
      <c r="C21" s="122"/>
      <c r="D21" s="128">
        <f t="shared" ref="D21:I21" si="12">+D19-D20</f>
        <v>281.96999999999935</v>
      </c>
      <c r="E21" s="128">
        <f t="shared" si="12"/>
        <v>939.61999999999898</v>
      </c>
      <c r="F21" s="128">
        <f t="shared" si="12"/>
        <v>-474.05999999999949</v>
      </c>
      <c r="G21" s="128">
        <f t="shared" si="12"/>
        <v>4756.5200000000004</v>
      </c>
      <c r="H21" s="128">
        <f t="shared" si="12"/>
        <v>1625.6500000000015</v>
      </c>
      <c r="I21" s="128">
        <f t="shared" si="12"/>
        <v>867.04000000000087</v>
      </c>
      <c r="J21" s="128">
        <f t="shared" ref="J21" si="13">+J19-J20</f>
        <v>3194.8900000000012</v>
      </c>
      <c r="K21" s="128">
        <f t="shared" ref="K21" si="14">+K19-K20</f>
        <v>1663.9600000000009</v>
      </c>
      <c r="L21" s="128">
        <f t="shared" ref="L21:O21" si="15">+L19-L20</f>
        <v>-5578.9299999999994</v>
      </c>
      <c r="M21" s="128">
        <f t="shared" si="15"/>
        <v>15146.210000000003</v>
      </c>
      <c r="N21" s="128">
        <f t="shared" si="15"/>
        <v>-1108.6599999999999</v>
      </c>
      <c r="O21" s="128">
        <f t="shared" si="15"/>
        <v>5712.9000000000015</v>
      </c>
      <c r="P21" s="128"/>
      <c r="Q21" s="129">
        <f>SUM(D21:O21)</f>
        <v>27027.110000000008</v>
      </c>
      <c r="R21" s="153">
        <f>SUM(J21:O21)</f>
        <v>19030.370000000006</v>
      </c>
      <c r="T21" s="129"/>
    </row>
    <row r="22" spans="1:20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8"/>
      <c r="Q22" s="120"/>
      <c r="R22" s="130"/>
      <c r="T22" s="137"/>
    </row>
    <row r="23" spans="1:20" x14ac:dyDescent="0.25">
      <c r="A23" s="122" t="s">
        <v>41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/>
      <c r="Q23" s="145"/>
      <c r="R23" s="121"/>
    </row>
    <row r="24" spans="1:20" x14ac:dyDescent="0.25">
      <c r="A24" s="122" t="s">
        <v>42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3"/>
      <c r="Q24" s="145"/>
      <c r="R24" s="132"/>
    </row>
    <row r="25" spans="1:20" x14ac:dyDescent="0.2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8"/>
      <c r="Q25" s="143"/>
      <c r="R25" s="132"/>
    </row>
    <row r="26" spans="1:20" x14ac:dyDescent="0.25">
      <c r="A26" s="122" t="s">
        <v>43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0"/>
      <c r="Q26" s="165"/>
      <c r="R26" s="132"/>
    </row>
    <row r="27" spans="1:20" x14ac:dyDescent="0.2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43"/>
      <c r="R27" s="121"/>
    </row>
    <row r="28" spans="1:20" x14ac:dyDescent="0.25">
      <c r="A28" s="133" t="s">
        <v>44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20"/>
      <c r="Q28" s="165"/>
      <c r="R28" s="121"/>
    </row>
    <row r="29" spans="1:20" x14ac:dyDescent="0.25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43"/>
      <c r="R29" s="121"/>
    </row>
    <row r="30" spans="1:20" x14ac:dyDescent="0.25">
      <c r="A30" s="133" t="s">
        <v>45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20"/>
      <c r="Q30" s="166"/>
      <c r="R30" s="121"/>
    </row>
    <row r="31" spans="1:20" x14ac:dyDescent="0.2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</row>
    <row r="32" spans="1:20" x14ac:dyDescent="0.2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</row>
    <row r="34" spans="1:18" x14ac:dyDescent="0.25">
      <c r="L34" s="176"/>
      <c r="M34" s="176"/>
      <c r="N34" s="176"/>
      <c r="O34" s="176"/>
      <c r="P34" s="176"/>
    </row>
    <row r="35" spans="1:18" x14ac:dyDescent="0.25">
      <c r="L35" s="177"/>
      <c r="M35" s="177"/>
      <c r="N35" s="177"/>
      <c r="O35" s="140"/>
    </row>
    <row r="36" spans="1:18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7"/>
      <c r="M36" s="117"/>
      <c r="N36" s="117"/>
      <c r="O36" s="117"/>
      <c r="P36" s="117"/>
      <c r="Q36" s="118"/>
      <c r="R36" s="119"/>
    </row>
    <row r="37" spans="1:18" x14ac:dyDescent="0.25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</row>
    <row r="38" spans="1:18" ht="15.75" x14ac:dyDescent="0.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3"/>
      <c r="M38" s="123"/>
      <c r="N38" s="123"/>
      <c r="O38" s="123"/>
      <c r="P38" s="123"/>
      <c r="Q38" s="135"/>
      <c r="R38" s="121"/>
    </row>
    <row r="39" spans="1:18" x14ac:dyDescent="0.25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0"/>
      <c r="R39" s="121"/>
    </row>
    <row r="40" spans="1:18" ht="15.75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4"/>
      <c r="M40" s="124"/>
      <c r="N40" s="124"/>
      <c r="O40" s="124"/>
      <c r="P40" s="124"/>
      <c r="Q40" s="85"/>
      <c r="R40" s="125"/>
    </row>
    <row r="41" spans="1:18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0"/>
      <c r="R41" s="121"/>
    </row>
    <row r="42" spans="1:18" x14ac:dyDescent="0.2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6"/>
      <c r="M42" s="126"/>
      <c r="N42" s="126"/>
      <c r="O42" s="126"/>
      <c r="P42" s="126"/>
      <c r="Q42" s="127"/>
      <c r="R42" s="121"/>
    </row>
    <row r="43" spans="1:18" x14ac:dyDescent="0.2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0"/>
      <c r="Q43" s="120"/>
      <c r="R43" s="121"/>
    </row>
    <row r="44" spans="1:18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3"/>
      <c r="M44" s="123"/>
      <c r="N44" s="123"/>
      <c r="O44" s="123"/>
      <c r="P44" s="123"/>
      <c r="Q44" s="120"/>
      <c r="R44" s="121"/>
    </row>
    <row r="45" spans="1:18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  <c r="Q45" s="120"/>
      <c r="R45" s="121"/>
    </row>
    <row r="46" spans="1:18" x14ac:dyDescent="0.2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3"/>
      <c r="M46" s="123"/>
      <c r="N46" s="123"/>
      <c r="O46" s="123"/>
      <c r="P46" s="123"/>
      <c r="Q46" s="120"/>
      <c r="R46" s="121"/>
    </row>
    <row r="47" spans="1:18" x14ac:dyDescent="0.25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3"/>
      <c r="M47" s="123"/>
      <c r="N47" s="123"/>
      <c r="O47" s="123"/>
      <c r="P47" s="123"/>
      <c r="Q47" s="120"/>
      <c r="R47" s="121"/>
    </row>
    <row r="48" spans="1:18" x14ac:dyDescent="0.2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3"/>
      <c r="Q48" s="120"/>
      <c r="R48" s="121"/>
    </row>
    <row r="49" spans="1:20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8"/>
      <c r="M49" s="128"/>
      <c r="N49" s="128"/>
      <c r="O49" s="128"/>
      <c r="P49" s="128"/>
      <c r="Q49" s="129"/>
      <c r="R49" s="121"/>
    </row>
    <row r="50" spans="1:20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8"/>
      <c r="M50" s="128"/>
      <c r="N50" s="128"/>
      <c r="O50" s="128"/>
      <c r="P50" s="128"/>
      <c r="Q50" s="129"/>
      <c r="R50" s="130"/>
      <c r="T50" s="129"/>
    </row>
    <row r="51" spans="1:20" x14ac:dyDescent="0.25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8"/>
      <c r="M51" s="128"/>
      <c r="N51" s="128"/>
      <c r="O51" s="128"/>
      <c r="P51" s="128"/>
      <c r="Q51" s="129"/>
      <c r="R51" s="121"/>
      <c r="T51" s="129"/>
    </row>
    <row r="52" spans="1:20" x14ac:dyDescent="0.25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8"/>
      <c r="Q52" s="120"/>
      <c r="R52" s="130"/>
      <c r="T52" s="129"/>
    </row>
    <row r="53" spans="1:20" x14ac:dyDescent="0.2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3"/>
      <c r="Q53" s="123"/>
      <c r="R53" s="121"/>
    </row>
    <row r="54" spans="1:20" x14ac:dyDescent="0.2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3"/>
      <c r="Q54" s="123"/>
      <c r="R54" s="121"/>
    </row>
    <row r="55" spans="1:20" x14ac:dyDescent="0.2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8"/>
      <c r="Q55" s="120"/>
      <c r="R55" s="121"/>
    </row>
    <row r="56" spans="1:20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0"/>
      <c r="Q56" s="131"/>
      <c r="R56" s="132"/>
    </row>
    <row r="57" spans="1:20" x14ac:dyDescent="0.25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1"/>
    </row>
    <row r="58" spans="1:20" x14ac:dyDescent="0.25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20"/>
      <c r="Q58" s="131"/>
      <c r="R58" s="121"/>
    </row>
    <row r="59" spans="1:20" x14ac:dyDescent="0.25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1"/>
    </row>
    <row r="60" spans="1:20" x14ac:dyDescent="0.25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20"/>
      <c r="Q60" s="134"/>
      <c r="R60" s="121"/>
    </row>
    <row r="61" spans="1:20" x14ac:dyDescent="0.25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</row>
  </sheetData>
  <mergeCells count="2">
    <mergeCell ref="L34:P34"/>
    <mergeCell ref="L35:N35"/>
  </mergeCells>
  <pageMargins left="0.7" right="0.7" top="0.75" bottom="0.75" header="0.3" footer="0.3"/>
  <pageSetup scale="52" fitToHeight="0" orientation="portrait" r:id="rId1"/>
  <colBreaks count="1" manualBreakCount="1">
    <brk id="18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2020-02-12T08:00:00+00:00</OpenedDate>
    <SignificantOrder xmlns="dc463f71-b30c-4ab2-9473-d307f9d35888">false</SignificantOrder>
    <Date1 xmlns="dc463f71-b30c-4ab2-9473-d307f9d35888">2020-02-13T08:00:00+00:00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Pullman Disposal Service, Inc</CaseCompanyNames>
    <Nickname xmlns="http://schemas.microsoft.com/sharepoint/v3" xsi:nil="true"/>
    <DocketNumber xmlns="dc463f71-b30c-4ab2-9473-d307f9d35888">200100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55B49965E4324A8F07A3CB67320547" ma:contentTypeVersion="52" ma:contentTypeDescription="" ma:contentTypeScope="" ma:versionID="9df55c0e0fa2f800af68a4997e95ff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5F2745-C311-4CBF-A376-4BFC69D0A00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ABD79-720E-4502-B227-5DD5AA15E101}"/>
</file>

<file path=customXml/itemProps4.xml><?xml version="1.0" encoding="utf-8"?>
<ds:datastoreItem xmlns:ds="http://schemas.openxmlformats.org/officeDocument/2006/customXml" ds:itemID="{EDAE960B-8311-42B3-B8A1-61D73FAD8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Analysis</vt:lpstr>
      <vt:lpstr>Aug 19 - Jan 20</vt:lpstr>
      <vt:lpstr>Commodity Debit</vt:lpstr>
      <vt:lpstr>Calcs revised method</vt:lpstr>
      <vt:lpstr>Analysis!Print_Area</vt:lpstr>
      <vt:lpstr>'Calcs revised method'!Print_Area</vt:lpstr>
      <vt:lpstr>'Commodity Debit'!Print_Area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Logan Davis</cp:lastModifiedBy>
  <cp:lastPrinted>2019-08-13T23:20:31Z</cp:lastPrinted>
  <dcterms:created xsi:type="dcterms:W3CDTF">2011-01-20T20:41:17Z</dcterms:created>
  <dcterms:modified xsi:type="dcterms:W3CDTF">2020-02-12T20:30:15Z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0x0101006E56B4D1795A2E4DB2F0B01679ED314A001A55B49965E4324A8F07A3CB67320547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