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mmon\Planning &amp; Analytics\BCP\2020-21\Final - Working File\FOR REVIEW\Native\"/>
    </mc:Choice>
  </mc:AlternateContent>
  <bookViews>
    <workbookView xWindow="0" yWindow="0" windowWidth="28800" windowHeight="12585"/>
  </bookViews>
  <sheets>
    <sheet name="2020-2021 Washington BCP" sheetId="1" r:id="rId1"/>
    <sheet name="Combined" sheetId="9" r:id="rId2"/>
    <sheet name="WA ELEC" sheetId="6" r:id="rId3"/>
    <sheet name="WA NG" sheetId="5" r:id="rId4"/>
  </sheets>
  <externalReferences>
    <externalReference r:id="rId5"/>
  </externalReferences>
  <definedNames>
    <definedName name="_xlnm.Print_Area" localSheetId="0">'2020-2021 Washington BCP'!$A$1:$G$53</definedName>
    <definedName name="_xlnm.Print_Titles" localSheetId="2">'WA ELEC'!$A:$A</definedName>
    <definedName name="_xlnm.Print_Titles" localSheetId="3">'WA NG'!$A:$A</definedName>
  </definedNames>
  <calcPr calcId="152511"/>
</workbook>
</file>

<file path=xl/calcChain.xml><?xml version="1.0" encoding="utf-8"?>
<calcChain xmlns="http://schemas.openxmlformats.org/spreadsheetml/2006/main">
  <c r="D46" i="1" l="1"/>
  <c r="D42" i="1"/>
  <c r="C48" i="1" l="1"/>
  <c r="F50" i="1" l="1"/>
  <c r="F43" i="1" l="1"/>
  <c r="F33" i="1"/>
  <c r="F29" i="1"/>
  <c r="E14" i="1"/>
  <c r="F15" i="1" l="1"/>
  <c r="F18" i="1"/>
  <c r="F20" i="1"/>
  <c r="F21" i="1"/>
  <c r="F22" i="1"/>
  <c r="F24" i="1"/>
  <c r="F14" i="1"/>
  <c r="D19" i="1"/>
  <c r="M40" i="1"/>
  <c r="M39" i="1"/>
  <c r="M38" i="1"/>
  <c r="M37" i="1"/>
  <c r="M36" i="1"/>
  <c r="M35" i="1"/>
  <c r="M34" i="1"/>
  <c r="M33" i="1"/>
  <c r="G42" i="1"/>
  <c r="D28" i="1"/>
  <c r="F38" i="1"/>
  <c r="D38" i="1"/>
  <c r="D35" i="1"/>
  <c r="D36" i="1"/>
  <c r="D37" i="1"/>
  <c r="D39" i="1"/>
  <c r="D40" i="1"/>
  <c r="D41" i="1"/>
  <c r="D34" i="1"/>
  <c r="D33" i="1"/>
  <c r="I43" i="1"/>
  <c r="K43" i="1" s="1"/>
  <c r="K40" i="1"/>
  <c r="F40" i="1" s="1"/>
  <c r="K41" i="1"/>
  <c r="F41" i="1" s="1"/>
  <c r="K35" i="1"/>
  <c r="F35" i="1" s="1"/>
  <c r="K36" i="1"/>
  <c r="F36" i="1" s="1"/>
  <c r="K37" i="1"/>
  <c r="F37" i="1" s="1"/>
  <c r="K39" i="1"/>
  <c r="F39" i="1" s="1"/>
  <c r="K34" i="1"/>
  <c r="F34" i="1" s="1"/>
  <c r="C19" i="1"/>
  <c r="B24" i="1"/>
  <c r="B23" i="1"/>
  <c r="B22" i="1"/>
  <c r="B21" i="1"/>
  <c r="B20" i="1"/>
  <c r="B18" i="1"/>
  <c r="B17" i="1"/>
  <c r="B16" i="1"/>
  <c r="B15" i="1"/>
  <c r="B14" i="1"/>
  <c r="B10" i="1"/>
  <c r="B9" i="1"/>
  <c r="B5" i="1"/>
  <c r="I13" i="9"/>
  <c r="I20" i="9"/>
  <c r="I14" i="9"/>
  <c r="I16" i="9"/>
  <c r="I8" i="9"/>
  <c r="I7" i="9"/>
  <c r="I4" i="9"/>
  <c r="I5" i="9" s="1"/>
  <c r="G22" i="9"/>
  <c r="G9" i="9"/>
  <c r="G24" i="9" s="1"/>
  <c r="G4" i="9"/>
  <c r="G5" i="9" s="1"/>
  <c r="E13" i="9"/>
  <c r="F16" i="1" s="1"/>
  <c r="E20" i="9"/>
  <c r="F23" i="1" s="1"/>
  <c r="E14" i="9"/>
  <c r="F17" i="1" s="1"/>
  <c r="E16" i="9"/>
  <c r="F19" i="1" s="1"/>
  <c r="E8" i="9"/>
  <c r="E7" i="9"/>
  <c r="F9" i="1" s="1"/>
  <c r="E4" i="9"/>
  <c r="E5" i="9" s="1"/>
  <c r="C8" i="9"/>
  <c r="B21" i="9"/>
  <c r="C24" i="1" s="1"/>
  <c r="C21" i="9"/>
  <c r="E24" i="1" s="1"/>
  <c r="D21" i="9"/>
  <c r="F21" i="9"/>
  <c r="D24" i="1" s="1"/>
  <c r="C16" i="9"/>
  <c r="E19" i="1" s="1"/>
  <c r="A16" i="9"/>
  <c r="B19" i="1" s="1"/>
  <c r="C20" i="9"/>
  <c r="E23" i="1" s="1"/>
  <c r="C14" i="9"/>
  <c r="E17" i="1" s="1"/>
  <c r="C13" i="9"/>
  <c r="E16" i="1" s="1"/>
  <c r="C7" i="9"/>
  <c r="F7" i="9"/>
  <c r="F8" i="9"/>
  <c r="F9" i="9"/>
  <c r="F11" i="9"/>
  <c r="F12" i="9"/>
  <c r="F14" i="9"/>
  <c r="F15" i="9"/>
  <c r="D18" i="1" s="1"/>
  <c r="F17" i="9"/>
  <c r="F18" i="9"/>
  <c r="F19" i="9"/>
  <c r="F20" i="9"/>
  <c r="D7" i="9"/>
  <c r="D9" i="1" s="1"/>
  <c r="D8" i="9"/>
  <c r="D9" i="9"/>
  <c r="D11" i="9"/>
  <c r="D14" i="1" s="1"/>
  <c r="D12" i="9"/>
  <c r="D14" i="9"/>
  <c r="D15" i="9"/>
  <c r="D17" i="9"/>
  <c r="D18" i="9"/>
  <c r="D21" i="1" s="1"/>
  <c r="D19" i="9"/>
  <c r="D20" i="9"/>
  <c r="B7" i="9"/>
  <c r="C9" i="1" s="1"/>
  <c r="B8" i="9"/>
  <c r="B9" i="9"/>
  <c r="B11" i="9"/>
  <c r="C14" i="1" s="1"/>
  <c r="B12" i="9"/>
  <c r="C15" i="1" s="1"/>
  <c r="B14" i="9"/>
  <c r="C17" i="1" s="1"/>
  <c r="B15" i="9"/>
  <c r="C18" i="1" s="1"/>
  <c r="B17" i="9"/>
  <c r="C20" i="1" s="1"/>
  <c r="B18" i="9"/>
  <c r="C21" i="1" s="1"/>
  <c r="B19" i="9"/>
  <c r="C22" i="1" s="1"/>
  <c r="B20" i="9"/>
  <c r="C23" i="1" s="1"/>
  <c r="C12" i="9"/>
  <c r="E15" i="1" s="1"/>
  <c r="C15" i="9"/>
  <c r="E18" i="1" s="1"/>
  <c r="C17" i="9"/>
  <c r="E20" i="1" s="1"/>
  <c r="C18" i="9"/>
  <c r="C19" i="9"/>
  <c r="E22" i="1" s="1"/>
  <c r="I22" i="9" l="1"/>
  <c r="C9" i="9"/>
  <c r="D22" i="1"/>
  <c r="D20" i="1"/>
  <c r="D17" i="1"/>
  <c r="I9" i="9"/>
  <c r="I24" i="9" s="1"/>
  <c r="I26" i="9" s="1"/>
  <c r="E9" i="9"/>
  <c r="C22" i="9"/>
  <c r="F5" i="1"/>
  <c r="E22" i="9"/>
  <c r="F11" i="1"/>
  <c r="G26" i="9"/>
  <c r="D15" i="1"/>
  <c r="D23" i="1"/>
  <c r="E21" i="1"/>
  <c r="E9" i="1"/>
  <c r="E11" i="1" s="1"/>
  <c r="G41" i="1"/>
  <c r="C11" i="1"/>
  <c r="G40" i="1"/>
  <c r="D43" i="1"/>
  <c r="G24" i="1"/>
  <c r="G10" i="1"/>
  <c r="D11" i="1"/>
  <c r="C24" i="9" l="1"/>
  <c r="E24" i="9"/>
  <c r="E26" i="9" s="1"/>
  <c r="G39" i="1"/>
  <c r="G28" i="1" l="1"/>
  <c r="G29" i="1"/>
  <c r="G36" i="1"/>
  <c r="G37" i="1"/>
  <c r="G38" i="1"/>
  <c r="G43" i="1"/>
  <c r="D30" i="1"/>
  <c r="E30" i="1"/>
  <c r="F30" i="1"/>
  <c r="C30" i="1"/>
  <c r="G21" i="1"/>
  <c r="G15" i="1"/>
  <c r="G22" i="1"/>
  <c r="G20" i="1"/>
  <c r="G19" i="1"/>
  <c r="G17" i="1"/>
  <c r="G14" i="1"/>
  <c r="G33" i="1" l="1"/>
  <c r="G35" i="1"/>
  <c r="D44" i="1"/>
  <c r="I44" i="1" s="1"/>
  <c r="K44" i="1" s="1"/>
  <c r="G30" i="1"/>
  <c r="G9" i="1"/>
  <c r="G11" i="1" s="1"/>
  <c r="G23" i="1"/>
  <c r="F44" i="1"/>
  <c r="G18" i="1"/>
  <c r="G34" i="1"/>
  <c r="G44" i="1" l="1"/>
  <c r="F6" i="1" l="1"/>
  <c r="E25" i="1" l="1"/>
  <c r="F25" i="1" l="1"/>
  <c r="F46" i="1" s="1"/>
  <c r="F48" i="1" s="1"/>
  <c r="B13" i="9" l="1"/>
  <c r="C16" i="1" s="1"/>
  <c r="C25" i="1" s="1"/>
  <c r="B24" i="9" l="1"/>
  <c r="B22" i="9"/>
  <c r="C4" i="9" l="1"/>
  <c r="B4" i="9"/>
  <c r="C5" i="1" s="1"/>
  <c r="C6" i="1" s="1"/>
  <c r="C46" i="1" s="1"/>
  <c r="B26" i="9" l="1"/>
  <c r="B5" i="9"/>
  <c r="C5" i="9"/>
  <c r="C26" i="9" s="1"/>
  <c r="E5" i="1"/>
  <c r="E6" i="1" s="1"/>
  <c r="E46" i="1" s="1"/>
  <c r="E48" i="1" s="1"/>
  <c r="D4" i="9" l="1"/>
  <c r="F4" i="9"/>
  <c r="F5" i="9" l="1"/>
  <c r="D5" i="9"/>
  <c r="D5" i="1"/>
  <c r="D6" i="1" l="1"/>
  <c r="G5" i="1"/>
  <c r="G6" i="1" l="1"/>
  <c r="D13" i="9" l="1"/>
  <c r="F13" i="9" l="1"/>
  <c r="D16" i="1" s="1"/>
  <c r="D24" i="9"/>
  <c r="D22" i="9"/>
  <c r="D26" i="9"/>
  <c r="H13" i="9"/>
  <c r="F24" i="9" l="1"/>
  <c r="F22" i="9"/>
  <c r="F26" i="9"/>
  <c r="G16" i="1"/>
  <c r="D25" i="1"/>
  <c r="H19" i="9"/>
  <c r="H15" i="9"/>
  <c r="H9" i="9"/>
  <c r="H7" i="9"/>
  <c r="H17" i="9"/>
  <c r="H18" i="9"/>
  <c r="H14" i="9"/>
  <c r="H21" i="9"/>
  <c r="H4" i="9"/>
  <c r="H12" i="9"/>
  <c r="H8" i="9"/>
  <c r="H11" i="9"/>
  <c r="H20" i="9"/>
  <c r="G25" i="1" l="1"/>
  <c r="G46" i="1" s="1"/>
  <c r="G48" i="1" s="1"/>
  <c r="D48" i="1"/>
  <c r="D50" i="1" s="1"/>
  <c r="H26" i="9"/>
  <c r="H5" i="9"/>
  <c r="H24" i="9"/>
  <c r="H22" i="9"/>
</calcChain>
</file>

<file path=xl/sharedStrings.xml><?xml version="1.0" encoding="utf-8"?>
<sst xmlns="http://schemas.openxmlformats.org/spreadsheetml/2006/main" count="159" uniqueCount="101">
  <si>
    <t>Programs</t>
  </si>
  <si>
    <t>MWh Savings</t>
  </si>
  <si>
    <t>Estimated Electric Budget</t>
  </si>
  <si>
    <t>Therm Savings</t>
  </si>
  <si>
    <t>Estimated Gas Budget</t>
  </si>
  <si>
    <t xml:space="preserve">Residential Programs </t>
  </si>
  <si>
    <t>Residential Total</t>
  </si>
  <si>
    <t>Non-Residential Programs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</si>
  <si>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</si>
  <si>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</si>
  <si>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</si>
  <si>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</si>
  <si>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</si>
  <si>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</si>
  <si>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</si>
  <si>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</si>
  <si>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</si>
  <si>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</si>
  <si>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</si>
  <si>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</si>
  <si>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</si>
  <si>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</si>
  <si>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</si>
  <si>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TRC</t>
  </si>
  <si>
    <t xml:space="preserve">UCT </t>
  </si>
  <si>
    <t>PCT</t>
  </si>
  <si>
    <t>RIM</t>
  </si>
  <si>
    <t>NA</t>
  </si>
  <si>
    <t>Prescriptive Res</t>
  </si>
  <si>
    <t>Residential</t>
  </si>
  <si>
    <t>NonRes HVAC</t>
  </si>
  <si>
    <t>NonRes Shell</t>
  </si>
  <si>
    <t>Green Motors</t>
  </si>
  <si>
    <t>Non-Residential</t>
  </si>
  <si>
    <t>NEEA</t>
  </si>
  <si>
    <t>Non-Residential Total</t>
  </si>
  <si>
    <t>Regional Efficiency Programs</t>
  </si>
  <si>
    <t xml:space="preserve">     NEEA Electric (WA Portion)</t>
  </si>
  <si>
    <t xml:space="preserve">     NEEA Gas (WA Portion)</t>
  </si>
  <si>
    <t>Regional Total</t>
  </si>
  <si>
    <t>Portfolio Support</t>
  </si>
  <si>
    <t xml:space="preserve">     Estimated EM&amp;V</t>
  </si>
  <si>
    <t xml:space="preserve">     Memberships</t>
  </si>
  <si>
    <t xml:space="preserve">     Outreach</t>
  </si>
  <si>
    <t xml:space="preserve">     Training/Travel</t>
  </si>
  <si>
    <t xml:space="preserve">     Regulatory</t>
  </si>
  <si>
    <t xml:space="preserve">     CPA Development</t>
  </si>
  <si>
    <t xml:space="preserve">     Labor</t>
  </si>
  <si>
    <t>Portfolio Support Total</t>
  </si>
  <si>
    <t>Totals included in cost effectiveness</t>
  </si>
  <si>
    <t>Portfolio Totals</t>
  </si>
  <si>
    <t>Estimated EM&amp;V Percentages</t>
  </si>
  <si>
    <t>Supplemental Budget Items</t>
  </si>
  <si>
    <t xml:space="preserve">WA LI </t>
  </si>
  <si>
    <t>Simple Steps</t>
  </si>
  <si>
    <t>Site Specific (Gas only for CE)</t>
  </si>
  <si>
    <t>C/I (Gas Only)</t>
  </si>
  <si>
    <t>WA NG TOTAL (Gas Only W/O LI)</t>
  </si>
  <si>
    <t>Elec NEBs</t>
  </si>
  <si>
    <t>Gas NEBs</t>
  </si>
  <si>
    <t>Elec 3rd Party</t>
  </si>
  <si>
    <t>Gas 3rd Party</t>
  </si>
  <si>
    <t>Elec NIUC$</t>
  </si>
  <si>
    <t>Gas NIUC$</t>
  </si>
  <si>
    <t xml:space="preserve">     Software</t>
  </si>
  <si>
    <t>Interior Pres Lighting</t>
  </si>
  <si>
    <t>Exterior Pres Lighting</t>
  </si>
  <si>
    <t>Site Specific</t>
  </si>
  <si>
    <t>Prescriptive Shell</t>
  </si>
  <si>
    <t>Variable Frequency Drives</t>
  </si>
  <si>
    <t>Fleet Heat</t>
  </si>
  <si>
    <t>Food Services</t>
  </si>
  <si>
    <t>AirGuardian</t>
  </si>
  <si>
    <t>Residential Prescriptive</t>
  </si>
  <si>
    <t>Food Service Equipment</t>
  </si>
  <si>
    <t>Appendix A: 2020-2021 Washington Savings Goals and Budgets</t>
  </si>
  <si>
    <t>Multifamily Direct Install</t>
  </si>
  <si>
    <t>Low Income</t>
  </si>
  <si>
    <t>Interior Lighting</t>
  </si>
  <si>
    <t>Open</t>
  </si>
  <si>
    <t>Washington Low Income</t>
  </si>
  <si>
    <t>WA Elec (w/o LI)</t>
  </si>
  <si>
    <t>WA Elec (Everything)</t>
  </si>
  <si>
    <t>Low-Income Program</t>
  </si>
  <si>
    <t>Grocer</t>
  </si>
  <si>
    <t>Without Low-Income</t>
  </si>
  <si>
    <t xml:space="preserve">    Studies and Research</t>
  </si>
  <si>
    <t xml:space="preserve">    General Implementation</t>
  </si>
  <si>
    <t>Incentive</t>
  </si>
  <si>
    <t>3rd party</t>
  </si>
  <si>
    <t>NIUC</t>
  </si>
  <si>
    <t>CPA</t>
  </si>
  <si>
    <t>EMV</t>
  </si>
  <si>
    <t>CEEP/Pilots</t>
  </si>
  <si>
    <t>Total</t>
  </si>
  <si>
    <t>From ACP</t>
  </si>
  <si>
    <t>Total Budget</t>
  </si>
  <si>
    <t>WA NG TOTAL</t>
  </si>
  <si>
    <t xml:space="preserve">    CEEP Matching &amp; Pilot Programs</t>
  </si>
  <si>
    <t xml:space="preserve">     Low-Income Total</t>
  </si>
  <si>
    <t>Low-Income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</si>
</sst>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165" fontId="0" fillId="2" borderId="1" xfId="1" applyNumberFormat="1" applyFont="1" applyFill="1" applyBorder="1"/>
    <xf numFmtId="0" fontId="0" fillId="0" borderId="0" xfId="0"/>
    <xf numFmtId="164" fontId="0" fillId="2" borderId="1" xfId="0" applyNumberFormat="1" applyFill="1" applyBorder="1"/>
    <xf numFmtId="6" fontId="0" fillId="2" borderId="1" xfId="0" applyNumberFormat="1" applyFill="1" applyBorder="1"/>
    <xf numFmtId="6" fontId="0" fillId="2" borderId="2" xfId="0" applyNumberFormat="1" applyFill="1" applyBorder="1"/>
    <xf numFmtId="0" fontId="0" fillId="2" borderId="5" xfId="0" applyFill="1" applyBorder="1"/>
    <xf numFmtId="6" fontId="0" fillId="2" borderId="5" xfId="0" applyNumberFormat="1" applyFill="1" applyBorder="1"/>
    <xf numFmtId="6" fontId="0" fillId="2" borderId="3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5" borderId="3" xfId="0" applyFill="1" applyBorder="1"/>
    <xf numFmtId="165" fontId="0" fillId="5" borderId="3" xfId="1" applyNumberFormat="1" applyFont="1" applyFill="1" applyBorder="1"/>
    <xf numFmtId="6" fontId="0" fillId="5" borderId="3" xfId="0" applyNumberFormat="1" applyFill="1" applyBorder="1"/>
    <xf numFmtId="165" fontId="0" fillId="5" borderId="3" xfId="0" applyNumberFormat="1" applyFill="1" applyBorder="1"/>
    <xf numFmtId="0" fontId="0" fillId="4" borderId="1" xfId="0" applyFill="1" applyBorder="1"/>
    <xf numFmtId="10" fontId="0" fillId="4" borderId="1" xfId="3" applyNumberFormat="1" applyFont="1" applyFill="1" applyBorder="1"/>
    <xf numFmtId="6" fontId="0" fillId="3" borderId="1" xfId="0" applyNumberFormat="1" applyFill="1" applyBorder="1"/>
    <xf numFmtId="0" fontId="0" fillId="2" borderId="6" xfId="0" applyFill="1" applyBorder="1"/>
    <xf numFmtId="6" fontId="0" fillId="6" borderId="2" xfId="0" applyNumberFormat="1" applyFill="1" applyBorder="1"/>
    <xf numFmtId="6" fontId="0" fillId="6" borderId="1" xfId="0" applyNumberFormat="1" applyFill="1" applyBorder="1"/>
    <xf numFmtId="0" fontId="5" fillId="6" borderId="7" xfId="0" applyFont="1" applyFill="1" applyBorder="1"/>
    <xf numFmtId="165" fontId="6" fillId="2" borderId="4" xfId="1" applyNumberFormat="1" applyFont="1" applyFill="1" applyBorder="1" applyAlignment="1">
      <alignment horizontal="center"/>
    </xf>
    <xf numFmtId="165" fontId="0" fillId="0" borderId="1" xfId="1" applyNumberFormat="1" applyFont="1" applyFill="1" applyBorder="1"/>
    <xf numFmtId="6" fontId="0" fillId="2" borderId="0" xfId="0" applyNumberFormat="1" applyFill="1"/>
    <xf numFmtId="43" fontId="0" fillId="2" borderId="0" xfId="1" applyFont="1" applyFill="1"/>
    <xf numFmtId="8" fontId="0" fillId="2" borderId="0" xfId="0" applyNumberFormat="1" applyFill="1"/>
    <xf numFmtId="43" fontId="0" fillId="2" borderId="0" xfId="0" applyNumberFormat="1" applyFill="1"/>
    <xf numFmtId="164" fontId="6" fillId="2" borderId="4" xfId="2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0" fillId="2" borderId="0" xfId="0" applyFill="1" applyBorder="1" applyAlignment="1">
      <alignment horizontal="center"/>
    </xf>
    <xf numFmtId="165" fontId="0" fillId="2" borderId="0" xfId="1" applyNumberFormat="1" applyFont="1" applyFill="1" applyBorder="1"/>
    <xf numFmtId="164" fontId="0" fillId="2" borderId="0" xfId="2" applyNumberFormat="1" applyFont="1" applyFill="1" applyBorder="1"/>
    <xf numFmtId="43" fontId="0" fillId="2" borderId="0" xfId="1" applyFont="1" applyFill="1" applyBorder="1" applyAlignment="1">
      <alignment horizontal="center"/>
    </xf>
    <xf numFmtId="0" fontId="0" fillId="2" borderId="0" xfId="0" applyFill="1" applyBorder="1"/>
    <xf numFmtId="0" fontId="0" fillId="2" borderId="4" xfId="0" applyFill="1" applyBorder="1" applyAlignment="1">
      <alignment horizontal="center"/>
    </xf>
    <xf numFmtId="165" fontId="0" fillId="2" borderId="4" xfId="1" applyNumberFormat="1" applyFont="1" applyFill="1" applyBorder="1"/>
    <xf numFmtId="164" fontId="0" fillId="2" borderId="4" xfId="2" applyNumberFormat="1" applyFont="1" applyFill="1" applyBorder="1"/>
    <xf numFmtId="43" fontId="0" fillId="2" borderId="4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/>
    <xf numFmtId="164" fontId="0" fillId="2" borderId="0" xfId="2" applyNumberFormat="1" applyFont="1" applyFill="1"/>
    <xf numFmtId="43" fontId="0" fillId="2" borderId="0" xfId="1" applyFont="1" applyFill="1" applyBorder="1"/>
    <xf numFmtId="43" fontId="0" fillId="2" borderId="4" xfId="1" applyFont="1" applyFill="1" applyBorder="1"/>
    <xf numFmtId="0" fontId="0" fillId="2" borderId="0" xfId="0" applyFill="1" applyAlignment="1">
      <alignment horizontal="center" wrapText="1"/>
    </xf>
    <xf numFmtId="43" fontId="0" fillId="2" borderId="0" xfId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164" fontId="0" fillId="2" borderId="0" xfId="2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0" fillId="2" borderId="4" xfId="2" applyNumberFormat="1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4" xfId="0" applyFill="1" applyBorder="1"/>
    <xf numFmtId="164" fontId="6" fillId="2" borderId="0" xfId="2" applyNumberFormat="1" applyFont="1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165" fontId="0" fillId="2" borderId="0" xfId="0" applyNumberFormat="1" applyFill="1"/>
    <xf numFmtId="164" fontId="0" fillId="2" borderId="0" xfId="0" applyNumberFormat="1" applyFill="1"/>
    <xf numFmtId="44" fontId="0" fillId="0" borderId="0" xfId="2" applyFont="1"/>
    <xf numFmtId="165" fontId="0" fillId="0" borderId="0" xfId="1" applyNumberFormat="1" applyFont="1"/>
    <xf numFmtId="165" fontId="0" fillId="0" borderId="4" xfId="1" applyNumberFormat="1" applyFont="1" applyBorder="1"/>
    <xf numFmtId="165" fontId="0" fillId="0" borderId="4" xfId="1" quotePrefix="1" applyNumberFormat="1" applyFont="1" applyBorder="1"/>
    <xf numFmtId="5" fontId="0" fillId="0" borderId="4" xfId="2" applyNumberFormat="1" applyFont="1" applyBorder="1"/>
    <xf numFmtId="5" fontId="0" fillId="0" borderId="0" xfId="2" applyNumberFormat="1" applyFont="1"/>
    <xf numFmtId="5" fontId="0" fillId="0" borderId="0" xfId="0" applyNumberFormat="1"/>
    <xf numFmtId="43" fontId="0" fillId="2" borderId="0" xfId="1" applyFont="1" applyFill="1" applyAlignment="1">
      <alignment wrapText="1"/>
    </xf>
    <xf numFmtId="43" fontId="0" fillId="2" borderId="8" xfId="1" applyFont="1" applyFill="1" applyBorder="1"/>
    <xf numFmtId="0" fontId="0" fillId="2" borderId="9" xfId="0" applyFill="1" applyBorder="1"/>
    <xf numFmtId="0" fontId="0" fillId="2" borderId="10" xfId="0" applyFill="1" applyBorder="1"/>
    <xf numFmtId="43" fontId="0" fillId="2" borderId="11" xfId="1" applyFont="1" applyFill="1" applyBorder="1"/>
    <xf numFmtId="0" fontId="0" fillId="2" borderId="12" xfId="0" applyFill="1" applyBorder="1"/>
    <xf numFmtId="5" fontId="0" fillId="2" borderId="11" xfId="1" applyNumberFormat="1" applyFont="1" applyFill="1" applyBorder="1"/>
    <xf numFmtId="43" fontId="0" fillId="2" borderId="13" xfId="1" applyFont="1" applyFill="1" applyBorder="1"/>
    <xf numFmtId="0" fontId="0" fillId="2" borderId="14" xfId="0" applyFill="1" applyBorder="1"/>
    <xf numFmtId="0" fontId="0" fillId="2" borderId="15" xfId="0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3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64" fontId="0" fillId="2" borderId="0" xfId="1" applyNumberFormat="1" applyFont="1" applyFill="1" applyBorder="1" applyAlignment="1">
      <alignment horizontal="center"/>
    </xf>
    <xf numFmtId="7" fontId="0" fillId="0" borderId="0" xfId="0" applyNumberFormat="1"/>
    <xf numFmtId="44" fontId="0" fillId="2" borderId="0" xfId="2" applyFont="1" applyFill="1"/>
    <xf numFmtId="44" fontId="0" fillId="2" borderId="0" xfId="0" applyNumberFormat="1" applyFill="1"/>
    <xf numFmtId="6" fontId="0" fillId="0" borderId="5" xfId="0" applyNumberFormat="1" applyFill="1" applyBorder="1"/>
    <xf numFmtId="165" fontId="0" fillId="0" borderId="2" xfId="1" applyNumberFormat="1" applyFont="1" applyFill="1" applyBorder="1"/>
    <xf numFmtId="165" fontId="0" fillId="2" borderId="2" xfId="1" applyNumberFormat="1" applyFont="1" applyFill="1" applyBorder="1"/>
  </cellXfs>
  <cellStyles count="19">
    <cellStyle name="Comma" xfId="1" builtinId="3"/>
    <cellStyle name="Comma 2" xfId="5"/>
    <cellStyle name="Comma 2 2" xfId="14"/>
    <cellStyle name="Comma 2 3" xfId="17"/>
    <cellStyle name="Comma 3" xfId="12"/>
    <cellStyle name="Currency" xfId="2" builtinId="4"/>
    <cellStyle name="Currency 2" xfId="7"/>
    <cellStyle name="Currency 2 2" xfId="15"/>
    <cellStyle name="Currency 2 2 2" xfId="8"/>
    <cellStyle name="Currency 3" xfId="9"/>
    <cellStyle name="Currency 5" xfId="10"/>
    <cellStyle name="Normal" xfId="0" builtinId="0"/>
    <cellStyle name="Normal 13" xfId="11"/>
    <cellStyle name="Normal 2" xfId="4"/>
    <cellStyle name="Percent" xfId="3" builtinId="5"/>
    <cellStyle name="Percent 2" xfId="6"/>
    <cellStyle name="Percent 2 2" xfId="16"/>
    <cellStyle name="Percent 2 3" xfId="18"/>
    <cellStyle name="Percent 3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Planning%20&amp;%20Analytics/Business%20Plans%20(ACP)/2020/WA/Native%20Files/2020%20Washington%20Electric%20BP%209.14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1.0 - NG AC"/>
      <sheetName val="2.0 - Source"/>
      <sheetName val="1.1 - Electric AC"/>
      <sheetName val="2.0 - NEBs"/>
      <sheetName val="3.1 - Res Pres"/>
      <sheetName val="3.2 - MF Direct Instal"/>
      <sheetName val="3.3 - SSSS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9 - Grocer"/>
      <sheetName val="3.19 - Food"/>
      <sheetName val="3.20 - AirGuardian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Sheet3"/>
      <sheetName val="App F Programs Summary"/>
      <sheetName val="App F Programs Summary (2)"/>
      <sheetName val="LI Tables"/>
      <sheetName val="Appendix A Tables"/>
      <sheetName val="Appendix A Measure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8">
          <cell r="L28">
            <v>9211850.4583260696</v>
          </cell>
          <cell r="P28">
            <v>313519.16583206208</v>
          </cell>
        </row>
      </sheetData>
      <sheetData sheetId="22">
        <row r="1">
          <cell r="D1">
            <v>3017321.9306999994</v>
          </cell>
        </row>
        <row r="5">
          <cell r="J5">
            <v>1358000</v>
          </cell>
          <cell r="K5">
            <v>105000</v>
          </cell>
          <cell r="L5">
            <v>693000</v>
          </cell>
        </row>
      </sheetData>
      <sheetData sheetId="23"/>
      <sheetData sheetId="24"/>
      <sheetData sheetId="25">
        <row r="31">
          <cell r="C31">
            <v>1680000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55"/>
  <sheetViews>
    <sheetView tabSelected="1" view="pageBreakPreview" topLeftCell="A16" zoomScale="130" zoomScaleNormal="100" zoomScaleSheetLayoutView="130" workbookViewId="0">
      <selection activeCell="E18" sqref="E18"/>
    </sheetView>
  </sheetViews>
  <sheetFormatPr defaultColWidth="9.140625" defaultRowHeight="15" x14ac:dyDescent="0.25"/>
  <cols>
    <col min="1" max="1" width="9.140625" style="1"/>
    <col min="2" max="2" width="36.5703125" style="1" customWidth="1"/>
    <col min="3" max="7" width="17.42578125" style="1" customWidth="1"/>
    <col min="8" max="8" width="9.85546875" style="1" bestFit="1" customWidth="1"/>
    <col min="9" max="9" width="14" style="1" bestFit="1" customWidth="1"/>
    <col min="10" max="10" width="13.28515625" style="1" bestFit="1" customWidth="1"/>
    <col min="11" max="11" width="13.42578125" style="1" bestFit="1" customWidth="1"/>
    <col min="12" max="12" width="14.5703125" style="1" bestFit="1" customWidth="1"/>
    <col min="13" max="13" width="14.28515625" style="29" bestFit="1" customWidth="1"/>
    <col min="14" max="15" width="9.140625" style="1"/>
    <col min="16" max="17" width="14.28515625" style="1" bestFit="1" customWidth="1"/>
    <col min="18" max="16384" width="9.140625" style="1"/>
  </cols>
  <sheetData>
    <row r="1" spans="1:13" ht="18.75" x14ac:dyDescent="0.3">
      <c r="A1" s="2" t="s">
        <v>75</v>
      </c>
    </row>
    <row r="3" spans="1:13" s="33" customFormat="1" ht="30" x14ac:dyDescent="0.25"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  <c r="G3" s="34" t="s">
        <v>96</v>
      </c>
      <c r="M3" s="81"/>
    </row>
    <row r="4" spans="1:13" x14ac:dyDescent="0.25">
      <c r="B4" s="35" t="s">
        <v>100</v>
      </c>
      <c r="C4" s="34"/>
      <c r="D4" s="34"/>
      <c r="E4" s="34"/>
      <c r="F4" s="34"/>
      <c r="G4" s="34"/>
      <c r="J4" s="29"/>
    </row>
    <row r="5" spans="1:13" x14ac:dyDescent="0.25">
      <c r="B5" s="3" t="str">
        <f>Combined!A4</f>
        <v>Low-Income Program</v>
      </c>
      <c r="C5" s="27">
        <f>Combined!B4/500</f>
        <v>882.90462090059464</v>
      </c>
      <c r="D5" s="8">
        <f>(Combined!D4+Combined!F4)*2</f>
        <v>1712985.4197676238</v>
      </c>
      <c r="E5" s="5">
        <f>Combined!C4*2</f>
        <v>51487.111576800002</v>
      </c>
      <c r="F5" s="8">
        <f>(Combined!E4+Combined!G4)*2</f>
        <v>3292070.5255280002</v>
      </c>
      <c r="G5" s="8">
        <f>D5+F5</f>
        <v>5005055.9452956244</v>
      </c>
      <c r="I5" s="30"/>
      <c r="J5" s="29"/>
      <c r="K5" s="31"/>
      <c r="L5" s="30"/>
    </row>
    <row r="6" spans="1:13" x14ac:dyDescent="0.25">
      <c r="B6" s="15" t="s">
        <v>99</v>
      </c>
      <c r="C6" s="16">
        <f>SUM(C5)</f>
        <v>882.90462090059464</v>
      </c>
      <c r="D6" s="17">
        <f>SUM(D5)</f>
        <v>1712985.4197676238</v>
      </c>
      <c r="E6" s="16">
        <f>SUM(E5)</f>
        <v>51487.111576800002</v>
      </c>
      <c r="F6" s="17">
        <f>F5</f>
        <v>3292070.5255280002</v>
      </c>
      <c r="G6" s="17">
        <f t="shared" ref="G6:G44" si="0">D6+F6</f>
        <v>5005055.9452956244</v>
      </c>
      <c r="J6" s="29"/>
      <c r="K6" s="31"/>
      <c r="L6" s="30"/>
    </row>
    <row r="7" spans="1:13" x14ac:dyDescent="0.25">
      <c r="B7" s="3"/>
      <c r="C7" s="5"/>
      <c r="D7" s="3"/>
      <c r="E7" s="5"/>
      <c r="F7" s="3"/>
      <c r="G7" s="8"/>
      <c r="J7" s="29"/>
      <c r="K7" s="31"/>
      <c r="L7" s="30"/>
    </row>
    <row r="8" spans="1:13" x14ac:dyDescent="0.25">
      <c r="B8" s="13" t="s">
        <v>5</v>
      </c>
      <c r="C8" s="34"/>
      <c r="D8" s="34"/>
      <c r="E8" s="34"/>
      <c r="F8" s="34"/>
      <c r="G8" s="34"/>
      <c r="J8" s="29"/>
      <c r="K8" s="31"/>
      <c r="L8" s="30"/>
    </row>
    <row r="9" spans="1:13" x14ac:dyDescent="0.25">
      <c r="B9" s="3" t="str">
        <f>Combined!A7</f>
        <v>Residential Prescriptive</v>
      </c>
      <c r="C9" s="27">
        <f>Combined!B7/500</f>
        <v>5022.7325000000001</v>
      </c>
      <c r="D9" s="8">
        <f>(Combined!D7+Combined!F7)*2</f>
        <v>1190000</v>
      </c>
      <c r="E9" s="5">
        <f>Combined!C7*2</f>
        <v>1283717.4771549003</v>
      </c>
      <c r="F9" s="12">
        <f>(Combined!E7+Combined!G7)*2</f>
        <v>5985400</v>
      </c>
      <c r="G9" s="8">
        <f t="shared" si="0"/>
        <v>7175400</v>
      </c>
      <c r="I9" s="101"/>
      <c r="J9" s="29"/>
      <c r="K9" s="31"/>
      <c r="L9" s="30"/>
    </row>
    <row r="10" spans="1:13" ht="15.75" thickBot="1" x14ac:dyDescent="0.3">
      <c r="B10" s="4" t="str">
        <f>Combined!A8</f>
        <v>Multifamily Direct Install</v>
      </c>
      <c r="C10" s="104">
        <v>6234</v>
      </c>
      <c r="D10" s="9">
        <v>3623582</v>
      </c>
      <c r="E10" s="105">
        <v>1733</v>
      </c>
      <c r="F10" s="9">
        <v>20786</v>
      </c>
      <c r="G10" s="9">
        <f t="shared" si="0"/>
        <v>3644368</v>
      </c>
      <c r="I10" s="101"/>
      <c r="J10" s="29"/>
      <c r="K10" s="31"/>
      <c r="L10" s="30"/>
    </row>
    <row r="11" spans="1:13" ht="15.75" thickTop="1" x14ac:dyDescent="0.25">
      <c r="B11" s="15" t="s">
        <v>6</v>
      </c>
      <c r="C11" s="16">
        <f>SUM(C9:C10)</f>
        <v>11256.7325</v>
      </c>
      <c r="D11" s="16">
        <f t="shared" ref="D11:G11" si="1">SUM(D9:D10)</f>
        <v>4813582</v>
      </c>
      <c r="E11" s="16">
        <f t="shared" si="1"/>
        <v>1285450.4771549003</v>
      </c>
      <c r="F11" s="16">
        <f t="shared" si="1"/>
        <v>6006186</v>
      </c>
      <c r="G11" s="16">
        <f t="shared" si="1"/>
        <v>10819768</v>
      </c>
      <c r="I11" s="102"/>
      <c r="J11" s="29"/>
      <c r="K11" s="31"/>
      <c r="L11" s="30"/>
    </row>
    <row r="12" spans="1:13" x14ac:dyDescent="0.25">
      <c r="B12" s="3"/>
      <c r="C12" s="5"/>
      <c r="D12" s="3"/>
      <c r="E12" s="3"/>
      <c r="F12" s="3"/>
      <c r="G12" s="8"/>
      <c r="J12" s="29"/>
      <c r="K12" s="31"/>
      <c r="L12" s="30"/>
    </row>
    <row r="13" spans="1:13" x14ac:dyDescent="0.25">
      <c r="B13" s="13" t="s">
        <v>7</v>
      </c>
      <c r="C13" s="34"/>
      <c r="D13" s="34"/>
      <c r="E13" s="34"/>
      <c r="F13" s="34"/>
      <c r="G13" s="34"/>
      <c r="J13" s="29"/>
      <c r="K13" s="31"/>
      <c r="L13" s="30"/>
    </row>
    <row r="14" spans="1:13" x14ac:dyDescent="0.25">
      <c r="B14" s="3" t="str">
        <f>Combined!A11</f>
        <v>Interior Pres Lighting</v>
      </c>
      <c r="C14" s="27">
        <f>Combined!B11/500</f>
        <v>15592.415999999999</v>
      </c>
      <c r="D14" s="8">
        <f>(Combined!D11+Combined!F11)*2</f>
        <v>2263600</v>
      </c>
      <c r="E14" s="5">
        <f>Combined!C11*2</f>
        <v>0</v>
      </c>
      <c r="F14" s="8">
        <f>(Combined!E11+Combined!G11)*2</f>
        <v>0</v>
      </c>
      <c r="G14" s="8">
        <f t="shared" si="0"/>
        <v>2263600</v>
      </c>
      <c r="J14" s="29"/>
      <c r="K14" s="31"/>
      <c r="L14" s="30"/>
    </row>
    <row r="15" spans="1:13" x14ac:dyDescent="0.25">
      <c r="B15" s="3" t="str">
        <f>Combined!A12</f>
        <v>Exterior Pres Lighting</v>
      </c>
      <c r="C15" s="27">
        <f>Combined!B12/500</f>
        <v>18156.717499999999</v>
      </c>
      <c r="D15" s="8">
        <f>(Combined!D12+Combined!F12)*2</f>
        <v>3509400</v>
      </c>
      <c r="E15" s="5">
        <f>Combined!C12*2</f>
        <v>0</v>
      </c>
      <c r="F15" s="8">
        <f>(Combined!E12+Combined!G12)*2</f>
        <v>0</v>
      </c>
      <c r="G15" s="8">
        <f t="shared" si="0"/>
        <v>3509400</v>
      </c>
      <c r="J15" s="29"/>
      <c r="K15" s="31"/>
      <c r="L15" s="30"/>
    </row>
    <row r="16" spans="1:13" x14ac:dyDescent="0.25">
      <c r="B16" s="3" t="str">
        <f>Combined!A13</f>
        <v>Site Specific</v>
      </c>
      <c r="C16" s="27">
        <f>Combined!B13/500</f>
        <v>33200</v>
      </c>
      <c r="D16" s="8">
        <f>(Combined!D13+Combined!F13)*2</f>
        <v>5112800</v>
      </c>
      <c r="E16" s="5">
        <f>Combined!C13*2</f>
        <v>302000</v>
      </c>
      <c r="F16" s="8">
        <f>(Combined!E13+Combined!G13)*2</f>
        <v>906000</v>
      </c>
      <c r="G16" s="8">
        <f t="shared" si="0"/>
        <v>6018800</v>
      </c>
      <c r="J16" s="29"/>
      <c r="K16" s="31"/>
      <c r="L16" s="30"/>
    </row>
    <row r="17" spans="2:13" x14ac:dyDescent="0.25">
      <c r="B17" s="3" t="str">
        <f>Combined!A14</f>
        <v>Prescriptive Shell</v>
      </c>
      <c r="C17" s="27">
        <f>Combined!B14/500</f>
        <v>1070</v>
      </c>
      <c r="D17" s="8">
        <f>(Combined!D14+Combined!F14)*2</f>
        <v>230000</v>
      </c>
      <c r="E17" s="5">
        <f>Combined!C14*2</f>
        <v>52000</v>
      </c>
      <c r="F17" s="8">
        <f>(Combined!E14+Combined!G14)*2</f>
        <v>108130.88129046607</v>
      </c>
      <c r="G17" s="8">
        <f t="shared" si="0"/>
        <v>338130.88129046606</v>
      </c>
      <c r="J17" s="29"/>
      <c r="K17" s="31"/>
      <c r="L17" s="30"/>
    </row>
    <row r="18" spans="2:13" x14ac:dyDescent="0.25">
      <c r="B18" s="3" t="str">
        <f>Combined!A15</f>
        <v>Green Motors</v>
      </c>
      <c r="C18" s="27">
        <f>Combined!B15/500</f>
        <v>104.252</v>
      </c>
      <c r="D18" s="8">
        <f>(Combined!D15+Combined!F15)*2</f>
        <v>17892.599999999999</v>
      </c>
      <c r="E18" s="5">
        <f>Combined!C15*2</f>
        <v>0</v>
      </c>
      <c r="F18" s="8">
        <f>(Combined!E15+Combined!G15)*2</f>
        <v>0</v>
      </c>
      <c r="G18" s="8">
        <f t="shared" si="0"/>
        <v>17892.599999999999</v>
      </c>
      <c r="J18" s="29"/>
      <c r="K18" s="31"/>
      <c r="L18" s="30"/>
    </row>
    <row r="19" spans="2:13" x14ac:dyDescent="0.25">
      <c r="B19" s="3" t="str">
        <f>Combined!A16</f>
        <v>NonRes HVAC</v>
      </c>
      <c r="C19" s="27">
        <f>Combined!B16/500</f>
        <v>0</v>
      </c>
      <c r="D19" s="8">
        <f>(Combined!D16+Combined!F16)*2</f>
        <v>0</v>
      </c>
      <c r="E19" s="5">
        <f>Combined!C16*2</f>
        <v>69240</v>
      </c>
      <c r="F19" s="8">
        <f>(Combined!E16+Combined!G16)*2</f>
        <v>192000</v>
      </c>
      <c r="G19" s="8">
        <f t="shared" si="0"/>
        <v>192000</v>
      </c>
      <c r="J19" s="29"/>
      <c r="K19" s="31"/>
      <c r="L19" s="30"/>
    </row>
    <row r="20" spans="2:13" x14ac:dyDescent="0.25">
      <c r="B20" s="3" t="str">
        <f>Combined!A17</f>
        <v>Variable Frequency Drives</v>
      </c>
      <c r="C20" s="27">
        <f>Combined!B17/500</f>
        <v>1934.5</v>
      </c>
      <c r="D20" s="8">
        <f>(Combined!D17+Combined!F17)*2</f>
        <v>195000</v>
      </c>
      <c r="E20" s="5">
        <f>Combined!C17*2</f>
        <v>0</v>
      </c>
      <c r="F20" s="8">
        <f>(Combined!E17+Combined!G17)*2</f>
        <v>0</v>
      </c>
      <c r="G20" s="8">
        <f t="shared" si="0"/>
        <v>195000</v>
      </c>
      <c r="J20" s="29"/>
      <c r="K20" s="31"/>
      <c r="L20" s="30"/>
    </row>
    <row r="21" spans="2:13" x14ac:dyDescent="0.25">
      <c r="B21" s="3" t="str">
        <f>Combined!A18</f>
        <v>Fleet Heat</v>
      </c>
      <c r="C21" s="27">
        <f>Combined!B18/500</f>
        <v>800</v>
      </c>
      <c r="D21" s="8">
        <f>(Combined!D18+Combined!F18)*2</f>
        <v>52050</v>
      </c>
      <c r="E21" s="5">
        <f>Combined!C18*2</f>
        <v>0</v>
      </c>
      <c r="F21" s="8">
        <f>(Combined!E18+Combined!G18)*2</f>
        <v>0</v>
      </c>
      <c r="G21" s="8">
        <f t="shared" si="0"/>
        <v>52050</v>
      </c>
      <c r="J21" s="29"/>
      <c r="K21" s="31"/>
      <c r="L21" s="30"/>
    </row>
    <row r="22" spans="2:13" x14ac:dyDescent="0.25">
      <c r="B22" s="3" t="str">
        <f>Combined!A19</f>
        <v>Grocer</v>
      </c>
      <c r="C22" s="27">
        <f>Combined!B19/500</f>
        <v>884.46799999999996</v>
      </c>
      <c r="D22" s="8">
        <f>(Combined!D19+Combined!F19)*2</f>
        <v>158524</v>
      </c>
      <c r="E22" s="5">
        <f>Combined!C19*2</f>
        <v>0</v>
      </c>
      <c r="F22" s="8">
        <f>(Combined!E19+Combined!G19)*2</f>
        <v>0</v>
      </c>
      <c r="G22" s="8">
        <f t="shared" si="0"/>
        <v>158524</v>
      </c>
      <c r="J22" s="29"/>
      <c r="K22" s="31"/>
      <c r="L22" s="30"/>
    </row>
    <row r="23" spans="2:13" x14ac:dyDescent="0.25">
      <c r="B23" s="3" t="str">
        <f>Combined!A20</f>
        <v>Food Services</v>
      </c>
      <c r="C23" s="27">
        <f>Combined!B20/500</f>
        <v>315.51400000000001</v>
      </c>
      <c r="D23" s="8">
        <f>(Combined!D20+Combined!F20)*2</f>
        <v>49280</v>
      </c>
      <c r="E23" s="5">
        <f>Combined!C20*2</f>
        <v>114214.224751</v>
      </c>
      <c r="F23" s="8">
        <f>(Combined!E20+Combined!G20)*2</f>
        <v>223800</v>
      </c>
      <c r="G23" s="8">
        <f t="shared" si="0"/>
        <v>273080</v>
      </c>
      <c r="J23" s="29"/>
      <c r="K23" s="31"/>
      <c r="L23" s="30"/>
    </row>
    <row r="24" spans="2:13" ht="15.75" thickBot="1" x14ac:dyDescent="0.3">
      <c r="B24" s="4" t="str">
        <f>Combined!A21</f>
        <v>AirGuardian</v>
      </c>
      <c r="C24" s="104">
        <f>Combined!B21/500</f>
        <v>84</v>
      </c>
      <c r="D24" s="9">
        <f>(Combined!D21+Combined!F21)*2</f>
        <v>20160</v>
      </c>
      <c r="E24" s="105">
        <f>Combined!C21*2</f>
        <v>0</v>
      </c>
      <c r="F24" s="9">
        <f>(Combined!E21+Combined!G21)*2</f>
        <v>0</v>
      </c>
      <c r="G24" s="9">
        <f t="shared" si="0"/>
        <v>20160</v>
      </c>
      <c r="J24" s="29"/>
      <c r="K24" s="31"/>
      <c r="L24" s="30"/>
    </row>
    <row r="25" spans="2:13" ht="15.75" thickTop="1" x14ac:dyDescent="0.25">
      <c r="B25" s="15" t="s">
        <v>35</v>
      </c>
      <c r="C25" s="16">
        <f>SUM(C14:C24)</f>
        <v>72141.867499999978</v>
      </c>
      <c r="D25" s="17">
        <f t="shared" ref="D25:F25" si="2">SUM(D14:D24)</f>
        <v>11608706.6</v>
      </c>
      <c r="E25" s="16">
        <f t="shared" si="2"/>
        <v>537454.22475100006</v>
      </c>
      <c r="F25" s="17">
        <f t="shared" si="2"/>
        <v>1429930.8812904661</v>
      </c>
      <c r="G25" s="17">
        <f t="shared" si="0"/>
        <v>13038637.481290465</v>
      </c>
      <c r="J25" s="29"/>
      <c r="K25" s="31"/>
      <c r="L25" s="30"/>
    </row>
    <row r="26" spans="2:13" x14ac:dyDescent="0.25">
      <c r="B26" s="3"/>
      <c r="C26" s="3"/>
      <c r="D26" s="3"/>
      <c r="E26" s="3"/>
      <c r="F26" s="3"/>
      <c r="G26" s="8"/>
      <c r="J26" s="29"/>
      <c r="K26" s="31"/>
      <c r="L26" s="30"/>
    </row>
    <row r="27" spans="2:13" x14ac:dyDescent="0.25">
      <c r="B27" s="13" t="s">
        <v>36</v>
      </c>
      <c r="C27" s="13"/>
      <c r="D27" s="13"/>
      <c r="E27" s="13"/>
      <c r="F27" s="13"/>
      <c r="G27" s="21"/>
      <c r="J27" s="29"/>
    </row>
    <row r="28" spans="2:13" x14ac:dyDescent="0.25">
      <c r="B28" s="3" t="s">
        <v>37</v>
      </c>
      <c r="C28" s="5">
        <v>12896</v>
      </c>
      <c r="D28" s="24">
        <f>1358000*2</f>
        <v>2716000</v>
      </c>
      <c r="E28" s="3"/>
      <c r="F28" s="3"/>
      <c r="G28" s="8">
        <f t="shared" si="0"/>
        <v>2716000</v>
      </c>
      <c r="J28" s="29"/>
      <c r="L28" s="28"/>
    </row>
    <row r="29" spans="2:13" ht="15.75" thickBot="1" x14ac:dyDescent="0.3">
      <c r="B29" s="4" t="s">
        <v>38</v>
      </c>
      <c r="C29" s="4"/>
      <c r="D29" s="4"/>
      <c r="E29" s="4"/>
      <c r="F29" s="23">
        <f>205000*2</f>
        <v>410000</v>
      </c>
      <c r="G29" s="9">
        <f t="shared" si="0"/>
        <v>410000</v>
      </c>
      <c r="J29" s="29"/>
    </row>
    <row r="30" spans="2:13" ht="15.75" thickTop="1" x14ac:dyDescent="0.25">
      <c r="B30" s="15" t="s">
        <v>39</v>
      </c>
      <c r="C30" s="18">
        <f>SUM(C28:C29)</f>
        <v>12896</v>
      </c>
      <c r="D30" s="17">
        <f>SUM(D28:D29)</f>
        <v>2716000</v>
      </c>
      <c r="E30" s="18">
        <f>SUM(E28:E29)</f>
        <v>0</v>
      </c>
      <c r="F30" s="17">
        <f>SUM(F28:F29)</f>
        <v>410000</v>
      </c>
      <c r="G30" s="17">
        <f t="shared" si="0"/>
        <v>3126000</v>
      </c>
      <c r="J30" s="29"/>
      <c r="L30" s="30"/>
    </row>
    <row r="31" spans="2:13" x14ac:dyDescent="0.25">
      <c r="B31" s="3"/>
      <c r="C31" s="3"/>
      <c r="D31" s="3"/>
      <c r="E31" s="3"/>
      <c r="F31" s="7"/>
      <c r="G31" s="8"/>
      <c r="J31" s="29"/>
    </row>
    <row r="32" spans="2:13" ht="15.75" thickBot="1" x14ac:dyDescent="0.3">
      <c r="B32" s="13" t="s">
        <v>40</v>
      </c>
      <c r="C32" s="13"/>
      <c r="D32" s="13"/>
      <c r="E32" s="13"/>
      <c r="F32" s="14"/>
      <c r="G32" s="21"/>
      <c r="I32" s="1" t="s">
        <v>95</v>
      </c>
      <c r="M32" s="1" t="s">
        <v>95</v>
      </c>
    </row>
    <row r="33" spans="2:17" x14ac:dyDescent="0.25">
      <c r="B33" s="3" t="s">
        <v>41</v>
      </c>
      <c r="C33" s="3"/>
      <c r="D33" s="24">
        <f>I33*2</f>
        <v>1386000</v>
      </c>
      <c r="E33" s="3"/>
      <c r="F33" s="24">
        <f>K33*2</f>
        <v>154000</v>
      </c>
      <c r="G33" s="8">
        <f t="shared" si="0"/>
        <v>1540000</v>
      </c>
      <c r="I33" s="91">
        <v>693000</v>
      </c>
      <c r="J33" s="92"/>
      <c r="K33" s="93">
        <v>77000</v>
      </c>
      <c r="M33" s="82">
        <f>'[1]4.0 - Elec Program Summary'!$L$28</f>
        <v>9211850.4583260696</v>
      </c>
      <c r="N33" s="83" t="s">
        <v>88</v>
      </c>
      <c r="O33" s="84"/>
      <c r="P33" s="31"/>
      <c r="Q33" s="31"/>
    </row>
    <row r="34" spans="2:17" x14ac:dyDescent="0.25">
      <c r="B34" s="3" t="s">
        <v>42</v>
      </c>
      <c r="C34" s="3"/>
      <c r="D34" s="8">
        <f>I34*0.7*0.9*2</f>
        <v>140188.85999999999</v>
      </c>
      <c r="E34" s="3"/>
      <c r="F34" s="8">
        <f>K34*0.7*0.1*2</f>
        <v>15576.54</v>
      </c>
      <c r="G34" s="8">
        <f t="shared" si="0"/>
        <v>155765.4</v>
      </c>
      <c r="I34" s="94">
        <v>111261</v>
      </c>
      <c r="J34" s="39"/>
      <c r="K34" s="95">
        <f>I34</f>
        <v>111261</v>
      </c>
      <c r="M34" s="85">
        <f>'[1]4.0 - Elec Program Summary'!$P$28</f>
        <v>313519.16583206208</v>
      </c>
      <c r="N34" s="42" t="s">
        <v>89</v>
      </c>
      <c r="O34" s="86"/>
      <c r="P34" s="31"/>
    </row>
    <row r="35" spans="2:17" x14ac:dyDescent="0.25">
      <c r="B35" s="3" t="s">
        <v>43</v>
      </c>
      <c r="C35" s="3"/>
      <c r="D35" s="8">
        <f t="shared" ref="D35:D43" si="3">I35*0.7*0.9*2</f>
        <v>1097869.5</v>
      </c>
      <c r="E35" s="3"/>
      <c r="F35" s="8">
        <f t="shared" ref="F35:F41" si="4">K35*0.7*0.1*2</f>
        <v>121985.5</v>
      </c>
      <c r="G35" s="8">
        <f t="shared" si="0"/>
        <v>1219855</v>
      </c>
      <c r="I35" s="94">
        <v>871325</v>
      </c>
      <c r="J35" s="39"/>
      <c r="K35" s="95">
        <f t="shared" ref="K35:K44" si="5">I35</f>
        <v>871325</v>
      </c>
      <c r="M35" s="85">
        <f>'[1]5.0 - NIUC Split'!$D$1</f>
        <v>3017321.9306999994</v>
      </c>
      <c r="N35" s="42" t="s">
        <v>90</v>
      </c>
      <c r="O35" s="86"/>
      <c r="P35" s="31"/>
    </row>
    <row r="36" spans="2:17" x14ac:dyDescent="0.25">
      <c r="B36" s="3" t="s">
        <v>44</v>
      </c>
      <c r="C36" s="3"/>
      <c r="D36" s="8">
        <f t="shared" si="3"/>
        <v>6300</v>
      </c>
      <c r="E36" s="3"/>
      <c r="F36" s="8">
        <f t="shared" si="4"/>
        <v>700</v>
      </c>
      <c r="G36" s="8">
        <f t="shared" si="0"/>
        <v>7000</v>
      </c>
      <c r="I36" s="94">
        <v>5000</v>
      </c>
      <c r="J36" s="39"/>
      <c r="K36" s="95">
        <f t="shared" si="5"/>
        <v>5000</v>
      </c>
      <c r="M36" s="85">
        <f>'[1]5.0 - NIUC Split'!$J$5</f>
        <v>1358000</v>
      </c>
      <c r="N36" s="42" t="s">
        <v>34</v>
      </c>
      <c r="O36" s="86"/>
      <c r="P36" s="31"/>
    </row>
    <row r="37" spans="2:17" x14ac:dyDescent="0.25">
      <c r="B37" s="10" t="s">
        <v>45</v>
      </c>
      <c r="C37" s="10"/>
      <c r="D37" s="8">
        <f t="shared" si="3"/>
        <v>6300</v>
      </c>
      <c r="E37" s="10"/>
      <c r="F37" s="8">
        <f t="shared" si="4"/>
        <v>700</v>
      </c>
      <c r="G37" s="8">
        <f t="shared" si="0"/>
        <v>7000</v>
      </c>
      <c r="I37" s="94">
        <v>5000</v>
      </c>
      <c r="J37" s="39"/>
      <c r="K37" s="95">
        <f t="shared" si="5"/>
        <v>5000</v>
      </c>
      <c r="M37" s="85">
        <f>'[1]5.0 - NIUC Split'!$K$5</f>
        <v>105000</v>
      </c>
      <c r="N37" s="42" t="s">
        <v>91</v>
      </c>
      <c r="O37" s="86"/>
      <c r="P37" s="31"/>
    </row>
    <row r="38" spans="2:17" x14ac:dyDescent="0.25">
      <c r="B38" s="3" t="s">
        <v>46</v>
      </c>
      <c r="C38" s="3"/>
      <c r="D38" s="24">
        <f>I38*2</f>
        <v>210000</v>
      </c>
      <c r="E38" s="3"/>
      <c r="F38" s="24">
        <f>K38*2</f>
        <v>14000</v>
      </c>
      <c r="G38" s="8">
        <f t="shared" si="0"/>
        <v>224000</v>
      </c>
      <c r="I38" s="94">
        <v>105000</v>
      </c>
      <c r="J38" s="39"/>
      <c r="K38" s="95">
        <v>7000</v>
      </c>
      <c r="M38" s="85">
        <f>'[1]5.0 - NIUC Split'!$L$5</f>
        <v>693000</v>
      </c>
      <c r="N38" s="42" t="s">
        <v>92</v>
      </c>
      <c r="O38" s="86"/>
      <c r="P38" s="31"/>
    </row>
    <row r="39" spans="2:17" x14ac:dyDescent="0.25">
      <c r="B39" s="3" t="s">
        <v>64</v>
      </c>
      <c r="C39" s="10"/>
      <c r="D39" s="8">
        <f t="shared" si="3"/>
        <v>287884.79999999999</v>
      </c>
      <c r="E39" s="10"/>
      <c r="F39" s="8">
        <f t="shared" si="4"/>
        <v>31987.200000000001</v>
      </c>
      <c r="G39" s="8">
        <f t="shared" si="0"/>
        <v>319872</v>
      </c>
      <c r="I39" s="94">
        <v>228480</v>
      </c>
      <c r="J39" s="39"/>
      <c r="K39" s="95">
        <f t="shared" si="5"/>
        <v>228480</v>
      </c>
      <c r="M39" s="87">
        <f>'[1]8.0 - Programs Summary'!$C$31</f>
        <v>1680000</v>
      </c>
      <c r="N39" s="42" t="s">
        <v>93</v>
      </c>
      <c r="O39" s="86"/>
      <c r="P39" s="31"/>
    </row>
    <row r="40" spans="2:17" ht="15.75" thickBot="1" x14ac:dyDescent="0.3">
      <c r="B40" s="3" t="s">
        <v>86</v>
      </c>
      <c r="C40" s="10"/>
      <c r="D40" s="8">
        <f t="shared" si="3"/>
        <v>63000</v>
      </c>
      <c r="E40" s="10"/>
      <c r="F40" s="8">
        <f t="shared" si="4"/>
        <v>7000</v>
      </c>
      <c r="G40" s="8">
        <f t="shared" si="0"/>
        <v>70000</v>
      </c>
      <c r="I40" s="94">
        <v>50000</v>
      </c>
      <c r="J40" s="39"/>
      <c r="K40" s="95">
        <f t="shared" si="5"/>
        <v>50000</v>
      </c>
      <c r="M40" s="88">
        <f>SUM(M33:M39)</f>
        <v>16378691.554858129</v>
      </c>
      <c r="N40" s="89" t="s">
        <v>94</v>
      </c>
      <c r="O40" s="90"/>
    </row>
    <row r="41" spans="2:17" x14ac:dyDescent="0.25">
      <c r="B41" s="3" t="s">
        <v>87</v>
      </c>
      <c r="C41" s="10"/>
      <c r="D41" s="8">
        <f t="shared" si="3"/>
        <v>571523.4</v>
      </c>
      <c r="E41" s="10"/>
      <c r="F41" s="8">
        <f t="shared" si="4"/>
        <v>63502.600000000006</v>
      </c>
      <c r="G41" s="8">
        <f t="shared" si="0"/>
        <v>635026</v>
      </c>
      <c r="I41" s="94">
        <v>453590</v>
      </c>
      <c r="J41" s="39"/>
      <c r="K41" s="95">
        <f t="shared" si="5"/>
        <v>453590</v>
      </c>
    </row>
    <row r="42" spans="2:17" x14ac:dyDescent="0.25">
      <c r="B42" s="10" t="s">
        <v>98</v>
      </c>
      <c r="C42" s="10"/>
      <c r="D42" s="103">
        <f>1750000*2</f>
        <v>3500000</v>
      </c>
      <c r="E42" s="10"/>
      <c r="F42" s="11">
        <v>0</v>
      </c>
      <c r="G42" s="8">
        <f t="shared" si="0"/>
        <v>3500000</v>
      </c>
      <c r="I42" s="94"/>
      <c r="J42" s="39"/>
      <c r="K42" s="95"/>
    </row>
    <row r="43" spans="2:17" ht="15.75" thickBot="1" x14ac:dyDescent="0.3">
      <c r="B43" s="4" t="s">
        <v>47</v>
      </c>
      <c r="C43" s="4"/>
      <c r="D43" s="9">
        <f t="shared" si="3"/>
        <v>3861577.44</v>
      </c>
      <c r="E43" s="4"/>
      <c r="F43" s="9">
        <f>K43*0.7*0.1*2</f>
        <v>429064.16</v>
      </c>
      <c r="G43" s="9">
        <f t="shared" si="0"/>
        <v>4290641.5999999996</v>
      </c>
      <c r="I43" s="94">
        <f>2203285+861459</f>
        <v>3064744</v>
      </c>
      <c r="J43" s="39"/>
      <c r="K43" s="95">
        <f t="shared" si="5"/>
        <v>3064744</v>
      </c>
    </row>
    <row r="44" spans="2:17" ht="16.5" thickTop="1" thickBot="1" x14ac:dyDescent="0.3">
      <c r="B44" s="15" t="s">
        <v>48</v>
      </c>
      <c r="C44" s="15"/>
      <c r="D44" s="17">
        <f>SUM(D33:D43)</f>
        <v>11130644</v>
      </c>
      <c r="E44" s="15"/>
      <c r="F44" s="17">
        <f>SUM(F33:F43)</f>
        <v>838516</v>
      </c>
      <c r="G44" s="17">
        <f t="shared" si="0"/>
        <v>11969160</v>
      </c>
      <c r="H44" s="28"/>
      <c r="I44" s="96">
        <f>D44/2</f>
        <v>5565322</v>
      </c>
      <c r="J44" s="97"/>
      <c r="K44" s="98">
        <f t="shared" si="5"/>
        <v>5565322</v>
      </c>
    </row>
    <row r="45" spans="2:17" ht="15.75" thickBot="1" x14ac:dyDescent="0.3">
      <c r="B45" s="4"/>
      <c r="C45" s="4"/>
      <c r="D45" s="4"/>
      <c r="E45" s="4"/>
      <c r="F45" s="4"/>
      <c r="G45" s="9"/>
      <c r="I45" s="48"/>
      <c r="J45" s="48"/>
      <c r="K45" s="48"/>
    </row>
    <row r="46" spans="2:17" ht="15.75" thickTop="1" x14ac:dyDescent="0.25">
      <c r="B46" s="15" t="s">
        <v>49</v>
      </c>
      <c r="C46" s="18">
        <f>C6+C11+C25</f>
        <v>84281.504620900581</v>
      </c>
      <c r="D46" s="17">
        <f>D6+D11+D25+D44-D33-D38</f>
        <v>27669918.019767623</v>
      </c>
      <c r="E46" s="17">
        <f>E6+E11+E25+E44-E33-E38</f>
        <v>1874391.8134827004</v>
      </c>
      <c r="F46" s="17">
        <f>F6+F11+F25+F44-F33-F38</f>
        <v>11398703.406818466</v>
      </c>
      <c r="G46" s="17">
        <f>G6+G11+G25+G44-G33-G38</f>
        <v>39068621.426586092</v>
      </c>
      <c r="I46" s="48"/>
      <c r="J46" s="48"/>
      <c r="K46" s="48"/>
    </row>
    <row r="47" spans="2:17" ht="15.75" thickBot="1" x14ac:dyDescent="0.3">
      <c r="B47" s="4"/>
      <c r="C47" s="22"/>
      <c r="D47" s="4"/>
      <c r="E47" s="4"/>
      <c r="F47" s="4"/>
      <c r="G47" s="9"/>
      <c r="I47" s="48"/>
      <c r="J47" s="48"/>
      <c r="K47" s="48"/>
    </row>
    <row r="48" spans="2:17" ht="15.75" thickTop="1" x14ac:dyDescent="0.25">
      <c r="B48" s="15" t="s">
        <v>50</v>
      </c>
      <c r="C48" s="18">
        <f>C46+C30</f>
        <v>97177.504620900581</v>
      </c>
      <c r="D48" s="17">
        <f>D46+D30+D38+D33+D42</f>
        <v>35481918.019767627</v>
      </c>
      <c r="E48" s="17">
        <f>E46+E30+E38+E33</f>
        <v>1874391.8134827004</v>
      </c>
      <c r="F48" s="17">
        <f>F46+F30+F38+F33</f>
        <v>11976703.406818466</v>
      </c>
      <c r="G48" s="17">
        <f>G46+G30+G38+G33</f>
        <v>43958621.426586092</v>
      </c>
      <c r="I48" s="48"/>
      <c r="J48" s="48"/>
      <c r="K48" s="48"/>
    </row>
    <row r="49" spans="2:11" x14ac:dyDescent="0.25">
      <c r="B49" s="3"/>
      <c r="C49" s="3"/>
      <c r="D49" s="3"/>
      <c r="E49" s="3"/>
      <c r="F49" s="3"/>
      <c r="G49" s="3"/>
      <c r="I49" s="48"/>
      <c r="J49" s="48"/>
      <c r="K49" s="48"/>
    </row>
    <row r="50" spans="2:11" x14ac:dyDescent="0.25">
      <c r="B50" s="19" t="s">
        <v>51</v>
      </c>
      <c r="C50" s="19"/>
      <c r="D50" s="20">
        <f>D33/D48</f>
        <v>3.90621498879467E-2</v>
      </c>
      <c r="E50" s="19"/>
      <c r="F50" s="20">
        <f>F33/F48</f>
        <v>1.2858296207980414E-2</v>
      </c>
      <c r="G50" s="3"/>
      <c r="I50" s="48"/>
      <c r="J50" s="48"/>
      <c r="K50" s="48"/>
    </row>
    <row r="51" spans="2:11" ht="15.75" thickBot="1" x14ac:dyDescent="0.3">
      <c r="J51" s="72"/>
    </row>
    <row r="52" spans="2:11" ht="15.75" thickBot="1" x14ac:dyDescent="0.3">
      <c r="B52" s="25" t="s">
        <v>52</v>
      </c>
      <c r="E52" s="31"/>
      <c r="J52" s="31"/>
    </row>
    <row r="53" spans="2:11" x14ac:dyDescent="0.25">
      <c r="D53" s="30"/>
      <c r="F53" s="30"/>
    </row>
    <row r="54" spans="2:11" x14ac:dyDescent="0.25">
      <c r="C54" s="29"/>
      <c r="D54" s="29"/>
      <c r="E54" s="29"/>
      <c r="F54" s="29"/>
      <c r="G54" s="29"/>
    </row>
    <row r="55" spans="2:11" x14ac:dyDescent="0.25">
      <c r="D55" s="30"/>
    </row>
  </sheetData>
  <pageMargins left="0.7" right="0.7" top="0.75" bottom="0.75" header="0.3" footer="0.3"/>
  <pageSetup scale="68" orientation="portrait" r:id="rId1"/>
  <headerFooter>
    <oddFooter>&amp;L&amp;F
&amp;A&amp;R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C29" sqref="C29"/>
    </sheetView>
  </sheetViews>
  <sheetFormatPr defaultRowHeight="15" x14ac:dyDescent="0.25"/>
  <cols>
    <col min="1" max="1" width="38.28515625" style="1" bestFit="1" customWidth="1"/>
    <col min="2" max="2" width="14.28515625" style="75" bestFit="1" customWidth="1"/>
    <col min="3" max="3" width="11.5703125" style="75" bestFit="1" customWidth="1"/>
    <col min="4" max="5" width="14.28515625" bestFit="1" customWidth="1"/>
    <col min="6" max="7" width="12.5703125" bestFit="1" customWidth="1"/>
    <col min="8" max="8" width="14.28515625" bestFit="1" customWidth="1"/>
    <col min="9" max="9" width="14.28515625" style="6" bestFit="1" customWidth="1"/>
    <col min="11" max="11" width="14.5703125" bestFit="1" customWidth="1"/>
  </cols>
  <sheetData>
    <row r="2" spans="1:13" s="1" customFormat="1" ht="30" x14ac:dyDescent="0.25">
      <c r="A2" s="47" t="s">
        <v>8</v>
      </c>
      <c r="B2" s="58" t="s">
        <v>9</v>
      </c>
      <c r="C2" s="58" t="s">
        <v>10</v>
      </c>
      <c r="D2" s="52" t="s">
        <v>17</v>
      </c>
      <c r="E2" s="52" t="s">
        <v>18</v>
      </c>
      <c r="F2" s="52" t="s">
        <v>60</v>
      </c>
      <c r="G2" s="52" t="s">
        <v>61</v>
      </c>
      <c r="H2" s="52" t="s">
        <v>62</v>
      </c>
      <c r="I2" s="52" t="s">
        <v>63</v>
      </c>
      <c r="J2" s="53"/>
      <c r="K2" s="52"/>
      <c r="L2" s="52"/>
      <c r="M2" s="52"/>
    </row>
    <row r="3" spans="1:13" x14ac:dyDescent="0.25">
      <c r="A3" s="47"/>
    </row>
    <row r="4" spans="1:13" ht="15.75" thickBot="1" x14ac:dyDescent="0.3">
      <c r="A4" s="70" t="s">
        <v>83</v>
      </c>
      <c r="B4" s="76">
        <f>'WA ELEC'!B4</f>
        <v>441452.31045029731</v>
      </c>
      <c r="C4" s="76">
        <f>'WA ELEC'!C4+'WA NG'!C4</f>
        <v>25743.555788400001</v>
      </c>
      <c r="D4" s="78">
        <f>'WA ELEC'!L4</f>
        <v>538088.44337722776</v>
      </c>
      <c r="E4" s="78">
        <f>'WA NG'!M4</f>
        <v>1342204.5893600001</v>
      </c>
      <c r="F4" s="78">
        <f>'WA ELEC'!P4</f>
        <v>318404.26650658413</v>
      </c>
      <c r="G4" s="78">
        <f>'WA NG'!R4</f>
        <v>303830.67340399994</v>
      </c>
      <c r="H4" s="78">
        <f>'WA ELEC'!T4</f>
        <v>49750.559595148792</v>
      </c>
      <c r="I4" s="78">
        <f>'WA NG'!U4</f>
        <v>18652.838322148746</v>
      </c>
      <c r="J4" s="74"/>
      <c r="K4" s="80"/>
    </row>
    <row r="5" spans="1:13" ht="15.75" thickTop="1" x14ac:dyDescent="0.25">
      <c r="A5" s="63" t="s">
        <v>80</v>
      </c>
      <c r="B5" s="75">
        <f>'WA ELEC'!B6</f>
        <v>441452.31045029731</v>
      </c>
      <c r="C5" s="75">
        <f>SUM(C4)</f>
        <v>25743.555788400001</v>
      </c>
      <c r="D5" s="79">
        <f>'WA ELEC'!L6</f>
        <v>538088.44337722776</v>
      </c>
      <c r="E5" s="79">
        <f>SUM(E4)</f>
        <v>1342204.5893600001</v>
      </c>
      <c r="F5" s="79">
        <f>'WA ELEC'!P6</f>
        <v>318404.26650658413</v>
      </c>
      <c r="G5" s="79">
        <f>G4</f>
        <v>303830.67340399994</v>
      </c>
      <c r="H5" s="79">
        <f>'WA ELEC'!T6</f>
        <v>49750.559595148792</v>
      </c>
      <c r="I5" s="79">
        <f>SUM(I4)</f>
        <v>18652.838322148746</v>
      </c>
      <c r="J5" s="74"/>
      <c r="K5" s="100"/>
    </row>
    <row r="6" spans="1:13" x14ac:dyDescent="0.25">
      <c r="A6" s="54"/>
      <c r="D6" s="79"/>
      <c r="E6" s="79"/>
      <c r="F6" s="79"/>
      <c r="G6" s="79"/>
      <c r="H6" s="79"/>
      <c r="I6" s="79"/>
      <c r="J6" s="74"/>
    </row>
    <row r="7" spans="1:13" x14ac:dyDescent="0.25">
      <c r="A7" s="63" t="s">
        <v>73</v>
      </c>
      <c r="B7" s="75">
        <f>'WA ELEC'!B8</f>
        <v>2511366.25</v>
      </c>
      <c r="C7" s="75">
        <f>'WA ELEC'!C8+'WA NG'!C7</f>
        <v>641858.73857745016</v>
      </c>
      <c r="D7" s="79">
        <f>'WA ELEC'!L8</f>
        <v>595000</v>
      </c>
      <c r="E7" s="79">
        <f>'WA NG'!M7</f>
        <v>2992700</v>
      </c>
      <c r="F7" s="79">
        <f>'WA ELEC'!P8</f>
        <v>0</v>
      </c>
      <c r="G7" s="79">
        <v>0</v>
      </c>
      <c r="H7" s="79">
        <f>'WA ELEC'!T8</f>
        <v>319348.53815827472</v>
      </c>
      <c r="I7" s="79">
        <f>'WA NG'!U7</f>
        <v>256425.94659416258</v>
      </c>
      <c r="J7" s="74"/>
      <c r="K7" s="100"/>
    </row>
    <row r="8" spans="1:13" ht="15.75" thickBot="1" x14ac:dyDescent="0.3">
      <c r="A8" s="70" t="s">
        <v>76</v>
      </c>
      <c r="B8" s="76">
        <f>'WA ELEC'!B9</f>
        <v>3865237</v>
      </c>
      <c r="C8" s="77">
        <f>'WA NG'!C8</f>
        <v>1074</v>
      </c>
      <c r="D8" s="78">
        <f>'WA ELEC'!L9</f>
        <v>2246621</v>
      </c>
      <c r="E8" s="78">
        <f>'WA NG'!M8</f>
        <v>12887.13</v>
      </c>
      <c r="F8" s="78">
        <f>'WA ELEC'!P9</f>
        <v>0</v>
      </c>
      <c r="G8" s="78">
        <v>0</v>
      </c>
      <c r="H8" s="78">
        <f>'WA ELEC'!T9</f>
        <v>252988.92591076059</v>
      </c>
      <c r="I8" s="78">
        <f>'WA NG'!U8</f>
        <v>185.85821073722207</v>
      </c>
      <c r="J8" s="74"/>
      <c r="K8" s="100"/>
    </row>
    <row r="9" spans="1:13" ht="15.75" thickTop="1" x14ac:dyDescent="0.25">
      <c r="A9" s="63" t="s">
        <v>29</v>
      </c>
      <c r="B9" s="75">
        <f>'WA ELEC'!B12</f>
        <v>6376603.25</v>
      </c>
      <c r="C9" s="75">
        <f>SUM(C7:C8)</f>
        <v>642932.73857745016</v>
      </c>
      <c r="D9" s="79">
        <f>'WA ELEC'!L12</f>
        <v>2841621</v>
      </c>
      <c r="E9" s="79">
        <f>SUM(E7:E8)</f>
        <v>3005587.13</v>
      </c>
      <c r="F9" s="79">
        <f>'WA ELEC'!P12</f>
        <v>0</v>
      </c>
      <c r="G9" s="79">
        <f>G7+G8</f>
        <v>0</v>
      </c>
      <c r="H9" s="79">
        <f>'WA ELEC'!T12</f>
        <v>572337.46406903537</v>
      </c>
      <c r="I9" s="79">
        <f>SUM(I7:I8)</f>
        <v>256611.80480489982</v>
      </c>
      <c r="J9" s="74"/>
      <c r="K9" s="80"/>
    </row>
    <row r="10" spans="1:13" x14ac:dyDescent="0.25">
      <c r="A10" s="54"/>
      <c r="D10" s="79"/>
      <c r="E10" s="79"/>
      <c r="F10" s="79"/>
      <c r="G10" s="79"/>
      <c r="H10" s="79"/>
      <c r="I10" s="79"/>
      <c r="J10" s="74"/>
    </row>
    <row r="11" spans="1:13" x14ac:dyDescent="0.25">
      <c r="A11" s="63" t="s">
        <v>65</v>
      </c>
      <c r="B11" s="75">
        <f>'WA ELEC'!B14</f>
        <v>7796208</v>
      </c>
      <c r="C11" s="75">
        <v>0</v>
      </c>
      <c r="D11" s="79">
        <f>'WA ELEC'!L14</f>
        <v>1131800</v>
      </c>
      <c r="E11" s="79">
        <v>0</v>
      </c>
      <c r="F11" s="79">
        <f>'WA ELEC'!P14</f>
        <v>0</v>
      </c>
      <c r="G11" s="79">
        <v>0</v>
      </c>
      <c r="H11" s="79">
        <f>'WA ELEC'!T14</f>
        <v>441890.35160517081</v>
      </c>
      <c r="I11" s="79">
        <v>0</v>
      </c>
      <c r="J11" s="74"/>
    </row>
    <row r="12" spans="1:13" x14ac:dyDescent="0.25">
      <c r="A12" s="63" t="s">
        <v>66</v>
      </c>
      <c r="B12" s="75">
        <f>'WA ELEC'!B15</f>
        <v>9078358.75</v>
      </c>
      <c r="C12" s="75">
        <f>'WA ELEC'!C15</f>
        <v>0</v>
      </c>
      <c r="D12" s="79">
        <f>'WA ELEC'!L15</f>
        <v>1754700</v>
      </c>
      <c r="E12" s="79">
        <v>0</v>
      </c>
      <c r="F12" s="79">
        <f>'WA ELEC'!P15</f>
        <v>0</v>
      </c>
      <c r="G12" s="79">
        <v>0</v>
      </c>
      <c r="H12" s="79">
        <f>'WA ELEC'!T15</f>
        <v>534934.13895629381</v>
      </c>
      <c r="I12" s="79">
        <v>0</v>
      </c>
      <c r="J12" s="74"/>
    </row>
    <row r="13" spans="1:13" x14ac:dyDescent="0.25">
      <c r="A13" s="63" t="s">
        <v>67</v>
      </c>
      <c r="B13" s="75">
        <f>'WA ELEC'!B16</f>
        <v>16600000</v>
      </c>
      <c r="C13" s="75">
        <f>'WA NG'!C16</f>
        <v>151000</v>
      </c>
      <c r="D13" s="79">
        <f>'WA ELEC'!L16</f>
        <v>2556400</v>
      </c>
      <c r="E13" s="79">
        <f>'WA NG'!M16</f>
        <v>453000</v>
      </c>
      <c r="F13" s="79">
        <f>'WA ELEC'!P16</f>
        <v>0</v>
      </c>
      <c r="G13" s="79">
        <v>0</v>
      </c>
      <c r="H13" s="79">
        <f>'WA ELEC'!T16</f>
        <v>1219725.4361061833</v>
      </c>
      <c r="I13" s="79">
        <f>'WA NG'!U16</f>
        <v>34372.766327136873</v>
      </c>
      <c r="J13" s="74"/>
    </row>
    <row r="14" spans="1:13" x14ac:dyDescent="0.25">
      <c r="A14" s="63" t="s">
        <v>68</v>
      </c>
      <c r="B14" s="75">
        <f>'WA ELEC'!B17</f>
        <v>535000</v>
      </c>
      <c r="C14" s="75">
        <f>'WA NG'!C12</f>
        <v>26000</v>
      </c>
      <c r="D14" s="79">
        <f>'WA ELEC'!L17</f>
        <v>115000</v>
      </c>
      <c r="E14" s="79">
        <f>'WA NG'!M12</f>
        <v>54065.440645233037</v>
      </c>
      <c r="F14" s="79">
        <f>'WA ELEC'!P17</f>
        <v>0</v>
      </c>
      <c r="G14" s="79">
        <v>0</v>
      </c>
      <c r="H14" s="79">
        <f>'WA ELEC'!T17</f>
        <v>69381.799479354435</v>
      </c>
      <c r="I14" s="79">
        <f>'WA NG'!U12</f>
        <v>8226.0599190479916</v>
      </c>
      <c r="J14" s="74"/>
    </row>
    <row r="15" spans="1:13" x14ac:dyDescent="0.25">
      <c r="A15" s="63" t="s">
        <v>32</v>
      </c>
      <c r="B15" s="75">
        <f>'WA ELEC'!B18</f>
        <v>52126</v>
      </c>
      <c r="C15" s="75">
        <f>'WA ELEC'!C18</f>
        <v>0</v>
      </c>
      <c r="D15" s="79">
        <f>'WA ELEC'!L18</f>
        <v>6340</v>
      </c>
      <c r="E15" s="79">
        <v>0</v>
      </c>
      <c r="F15" s="79">
        <f>'WA ELEC'!P18</f>
        <v>2606.3000000000002</v>
      </c>
      <c r="G15" s="79">
        <v>0</v>
      </c>
      <c r="H15" s="79">
        <f>'WA ELEC'!T18</f>
        <v>1928.9210109111934</v>
      </c>
      <c r="I15" s="79">
        <v>0</v>
      </c>
      <c r="J15" s="74"/>
    </row>
    <row r="16" spans="1:13" s="6" customFormat="1" x14ac:dyDescent="0.25">
      <c r="A16" s="63" t="str">
        <f>'WA NG'!A11</f>
        <v>NonRes HVAC</v>
      </c>
      <c r="B16" s="75"/>
      <c r="C16" s="75">
        <f>'WA NG'!C11</f>
        <v>34620</v>
      </c>
      <c r="D16" s="79">
        <v>0</v>
      </c>
      <c r="E16" s="79">
        <f>'WA NG'!M11</f>
        <v>96000</v>
      </c>
      <c r="F16" s="79">
        <v>0</v>
      </c>
      <c r="G16" s="79">
        <v>0</v>
      </c>
      <c r="H16" s="79"/>
      <c r="I16" s="79">
        <f>'WA NG'!U11</f>
        <v>8236.1767979534106</v>
      </c>
      <c r="J16" s="74"/>
    </row>
    <row r="17" spans="1:11" x14ac:dyDescent="0.25">
      <c r="A17" s="63" t="s">
        <v>69</v>
      </c>
      <c r="B17" s="75">
        <f>'WA ELEC'!B19</f>
        <v>967250</v>
      </c>
      <c r="C17" s="75">
        <f>'WA ELEC'!C19</f>
        <v>0</v>
      </c>
      <c r="D17" s="79">
        <f>'WA ELEC'!L19</f>
        <v>97500</v>
      </c>
      <c r="E17" s="79">
        <v>0</v>
      </c>
      <c r="F17" s="79">
        <f>'WA ELEC'!P19</f>
        <v>0</v>
      </c>
      <c r="G17" s="79">
        <v>0</v>
      </c>
      <c r="H17" s="79">
        <f>'WA ELEC'!T19</f>
        <v>69757.493432494448</v>
      </c>
      <c r="I17" s="79">
        <v>0</v>
      </c>
      <c r="J17" s="74"/>
    </row>
    <row r="18" spans="1:11" x14ac:dyDescent="0.25">
      <c r="A18" s="63" t="s">
        <v>70</v>
      </c>
      <c r="B18" s="75">
        <f>'WA ELEC'!B20</f>
        <v>400000</v>
      </c>
      <c r="C18" s="75">
        <f>'WA ELEC'!C20</f>
        <v>0</v>
      </c>
      <c r="D18" s="79">
        <f>'WA ELEC'!L20</f>
        <v>26025</v>
      </c>
      <c r="E18" s="79">
        <v>0</v>
      </c>
      <c r="F18" s="79">
        <f>'WA ELEC'!P20</f>
        <v>0</v>
      </c>
      <c r="G18" s="79">
        <v>0</v>
      </c>
      <c r="H18" s="79">
        <f>'WA ELEC'!T20</f>
        <v>22549.987207016173</v>
      </c>
      <c r="I18" s="79">
        <v>0</v>
      </c>
      <c r="J18" s="74"/>
    </row>
    <row r="19" spans="1:11" x14ac:dyDescent="0.25">
      <c r="A19" s="63" t="s">
        <v>84</v>
      </c>
      <c r="B19" s="75">
        <f>'WA ELEC'!B21</f>
        <v>442234</v>
      </c>
      <c r="C19" s="75">
        <f>'WA ELEC'!C21</f>
        <v>0</v>
      </c>
      <c r="D19" s="79">
        <f>'WA ELEC'!L21</f>
        <v>79262</v>
      </c>
      <c r="E19" s="79">
        <v>0</v>
      </c>
      <c r="F19" s="79">
        <f>'WA ELEC'!P21</f>
        <v>0</v>
      </c>
      <c r="G19" s="79">
        <v>0</v>
      </c>
      <c r="H19" s="79">
        <f>'WA ELEC'!T21</f>
        <v>27142.040137064243</v>
      </c>
      <c r="I19" s="79">
        <v>0</v>
      </c>
      <c r="J19" s="74"/>
    </row>
    <row r="20" spans="1:11" x14ac:dyDescent="0.25">
      <c r="A20" s="63" t="s">
        <v>71</v>
      </c>
      <c r="B20" s="75">
        <f>'WA ELEC'!B22</f>
        <v>157757</v>
      </c>
      <c r="C20" s="75">
        <f>'WA NG'!C14</f>
        <v>57107.112375500001</v>
      </c>
      <c r="D20" s="79">
        <f>'WA ELEC'!L22</f>
        <v>24640</v>
      </c>
      <c r="E20" s="79">
        <f>'WA NG'!M14</f>
        <v>111900</v>
      </c>
      <c r="F20" s="79">
        <f>'WA ELEC'!P22</f>
        <v>0</v>
      </c>
      <c r="G20" s="79">
        <v>0</v>
      </c>
      <c r="H20" s="79">
        <f>'WA ELEC'!T22</f>
        <v>5929.9122909031812</v>
      </c>
      <c r="I20" s="79">
        <f>'WA NG'!U14</f>
        <v>9158.3461288132276</v>
      </c>
      <c r="J20" s="74"/>
    </row>
    <row r="21" spans="1:11" ht="15.75" thickBot="1" x14ac:dyDescent="0.3">
      <c r="A21" s="70" t="s">
        <v>72</v>
      </c>
      <c r="B21" s="76">
        <f>'WA ELEC'!B23</f>
        <v>42000</v>
      </c>
      <c r="C21" s="76">
        <f>'WA ELEC'!C23</f>
        <v>0</v>
      </c>
      <c r="D21" s="78">
        <f>'WA ELEC'!L23</f>
        <v>10080</v>
      </c>
      <c r="E21" s="78">
        <v>0</v>
      </c>
      <c r="F21" s="78">
        <f>'WA ELEC'!P23</f>
        <v>0</v>
      </c>
      <c r="G21" s="78">
        <v>0</v>
      </c>
      <c r="H21" s="78">
        <f>'WA ELEC'!T23</f>
        <v>1993.8268104237418</v>
      </c>
      <c r="I21" s="78">
        <v>0</v>
      </c>
      <c r="J21" s="74"/>
    </row>
    <row r="22" spans="1:11" ht="15.75" thickTop="1" x14ac:dyDescent="0.25">
      <c r="A22" s="38" t="s">
        <v>33</v>
      </c>
      <c r="B22" s="75">
        <f>'WA ELEC'!B24</f>
        <v>36070933.75</v>
      </c>
      <c r="C22" s="75">
        <f>SUM(C11:C21)</f>
        <v>268727.11237550003</v>
      </c>
      <c r="D22" s="79">
        <f>'WA ELEC'!L24</f>
        <v>5801747</v>
      </c>
      <c r="E22" s="79">
        <f>SUM(E11:E21)</f>
        <v>714965.44064523303</v>
      </c>
      <c r="F22" s="79">
        <f>'WA ELEC'!P24</f>
        <v>2606.3000000000002</v>
      </c>
      <c r="G22" s="79">
        <f>SUM(G11:G21)</f>
        <v>0</v>
      </c>
      <c r="H22" s="79">
        <f>'WA ELEC'!T24</f>
        <v>2395233.9070358151</v>
      </c>
      <c r="I22" s="79">
        <f>SUM(I11:I21)</f>
        <v>59993.349172951508</v>
      </c>
      <c r="J22" s="74"/>
      <c r="K22" s="80"/>
    </row>
    <row r="23" spans="1:11" x14ac:dyDescent="0.25">
      <c r="A23" s="38"/>
      <c r="D23" s="79"/>
      <c r="E23" s="79"/>
      <c r="F23" s="79"/>
      <c r="G23" s="79"/>
      <c r="H23" s="79"/>
      <c r="I23" s="79"/>
      <c r="J23" s="74"/>
    </row>
    <row r="24" spans="1:11" ht="15.75" thickBot="1" x14ac:dyDescent="0.3">
      <c r="A24" s="43" t="s">
        <v>85</v>
      </c>
      <c r="B24" s="76">
        <f>'WA ELEC'!B26</f>
        <v>42447537</v>
      </c>
      <c r="C24" s="76">
        <f>C22+C9</f>
        <v>911659.85095295019</v>
      </c>
      <c r="D24" s="78">
        <f>'WA ELEC'!L26</f>
        <v>8643368</v>
      </c>
      <c r="E24" s="78">
        <f>E22+E9</f>
        <v>3720552.5706452327</v>
      </c>
      <c r="F24" s="78">
        <f>'WA ELEC'!P26</f>
        <v>2606.3000000000002</v>
      </c>
      <c r="G24" s="78">
        <f>G22+G9</f>
        <v>0</v>
      </c>
      <c r="H24" s="78">
        <f>'WA ELEC'!T26</f>
        <v>2967571.3711048504</v>
      </c>
      <c r="I24" s="78">
        <f>I22+I9</f>
        <v>316605.15397785133</v>
      </c>
      <c r="J24" s="74"/>
    </row>
    <row r="25" spans="1:11" ht="15.75" thickTop="1" x14ac:dyDescent="0.25">
      <c r="A25" s="38"/>
      <c r="D25" s="79"/>
      <c r="E25" s="79"/>
      <c r="F25" s="79"/>
      <c r="G25" s="79"/>
      <c r="H25" s="79"/>
      <c r="I25" s="79"/>
      <c r="J25" s="74"/>
    </row>
    <row r="26" spans="1:11" ht="15.75" thickBot="1" x14ac:dyDescent="0.3">
      <c r="A26" s="43" t="s">
        <v>82</v>
      </c>
      <c r="B26" s="76">
        <f>'WA ELEC'!B28</f>
        <v>42888989.310450301</v>
      </c>
      <c r="C26" s="76">
        <f>C22+C9+C5</f>
        <v>937403.40674135019</v>
      </c>
      <c r="D26" s="78">
        <f>'WA ELEC'!L28</f>
        <v>9181456.4433772266</v>
      </c>
      <c r="E26" s="78">
        <f>E24+E5</f>
        <v>5062757.1600052323</v>
      </c>
      <c r="F26" s="78">
        <f>'WA ELEC'!P28</f>
        <v>321010.56650658412</v>
      </c>
      <c r="G26" s="78">
        <f>G24+G5</f>
        <v>303830.67340399994</v>
      </c>
      <c r="H26" s="78">
        <f>'WA ELEC'!T28</f>
        <v>3017321.9306999994</v>
      </c>
      <c r="I26" s="78">
        <f>I24+I5</f>
        <v>335257.99230000004</v>
      </c>
      <c r="J26" s="74"/>
      <c r="K26" s="100"/>
    </row>
    <row r="27" spans="1:11" ht="15.75" thickTop="1" x14ac:dyDescent="0.25">
      <c r="D27" s="80"/>
      <c r="E27" s="80"/>
      <c r="F27" s="80"/>
      <c r="G27" s="80"/>
      <c r="H27" s="80"/>
      <c r="I27" s="80"/>
    </row>
    <row r="28" spans="1:11" x14ac:dyDescent="0.25">
      <c r="D28" s="80"/>
      <c r="E28" s="80"/>
      <c r="F28" s="80"/>
      <c r="G28" s="80"/>
      <c r="H28" s="80"/>
      <c r="I28" s="80"/>
    </row>
    <row r="29" spans="1:11" x14ac:dyDescent="0.25">
      <c r="D29" s="80"/>
      <c r="E29" s="80"/>
      <c r="F29" s="80"/>
      <c r="G29" s="80"/>
      <c r="H29" s="80"/>
      <c r="I29" s="80"/>
    </row>
    <row r="30" spans="1:11" x14ac:dyDescent="0.25">
      <c r="D30" s="80"/>
      <c r="E30" s="80"/>
      <c r="F30" s="80"/>
      <c r="G30" s="80"/>
      <c r="H30" s="80"/>
      <c r="I30" s="80"/>
    </row>
    <row r="31" spans="1:11" x14ac:dyDescent="0.25">
      <c r="D31" s="80"/>
      <c r="E31" s="80"/>
      <c r="F31" s="80"/>
      <c r="G31" s="80"/>
      <c r="H31" s="80"/>
      <c r="I31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Y34"/>
  <sheetViews>
    <sheetView workbookViewId="0">
      <selection activeCell="B4" sqref="B4:Y28"/>
    </sheetView>
  </sheetViews>
  <sheetFormatPr defaultColWidth="9.140625" defaultRowHeight="15" x14ac:dyDescent="0.25"/>
  <cols>
    <col min="1" max="1" width="38.28515625" style="1" bestFit="1" customWidth="1"/>
    <col min="2" max="2" width="11.5703125" style="1" customWidth="1"/>
    <col min="3" max="3" width="11" style="1" customWidth="1"/>
    <col min="4" max="4" width="11.85546875" style="1" customWidth="1"/>
    <col min="5" max="5" width="12" style="1" customWidth="1"/>
    <col min="6" max="6" width="13.140625" style="1" customWidth="1"/>
    <col min="7" max="7" width="12.5703125" style="1" customWidth="1"/>
    <col min="8" max="8" width="12.42578125" style="1" customWidth="1"/>
    <col min="9" max="10" width="11.5703125" style="1" customWidth="1"/>
    <col min="11" max="11" width="10.85546875" style="1" customWidth="1"/>
    <col min="12" max="12" width="11.42578125" style="1" customWidth="1"/>
    <col min="13" max="13" width="11.85546875" style="1" customWidth="1"/>
    <col min="14" max="14" width="16.85546875" style="1" customWidth="1"/>
    <col min="15" max="15" width="12.85546875" style="1" customWidth="1"/>
    <col min="16" max="17" width="11.5703125" style="1" customWidth="1"/>
    <col min="18" max="18" width="9.28515625" style="1" customWidth="1"/>
    <col min="19" max="21" width="11.42578125" style="1" customWidth="1"/>
    <col min="22" max="22" width="11.42578125" style="29" customWidth="1"/>
    <col min="23" max="23" width="9.140625" style="1"/>
    <col min="24" max="24" width="11.28515625" style="1" bestFit="1" customWidth="1"/>
    <col min="25" max="16384" width="9.140625" style="1"/>
  </cols>
  <sheetData>
    <row r="2" spans="1:25" ht="30" x14ac:dyDescent="0.25">
      <c r="A2" s="47" t="s">
        <v>8</v>
      </c>
      <c r="B2" s="47" t="s">
        <v>9</v>
      </c>
      <c r="C2" s="47" t="s">
        <v>10</v>
      </c>
      <c r="D2" s="47" t="s">
        <v>11</v>
      </c>
      <c r="E2" s="47" t="s">
        <v>12</v>
      </c>
      <c r="F2" s="47" t="s">
        <v>13</v>
      </c>
      <c r="G2" s="52" t="s">
        <v>14</v>
      </c>
      <c r="H2" s="47" t="s">
        <v>15</v>
      </c>
      <c r="I2" s="47" t="s">
        <v>16</v>
      </c>
      <c r="J2" s="47" t="s">
        <v>58</v>
      </c>
      <c r="K2" s="47" t="s">
        <v>59</v>
      </c>
      <c r="L2" s="52" t="s">
        <v>17</v>
      </c>
      <c r="M2" s="52" t="s">
        <v>18</v>
      </c>
      <c r="N2" s="52" t="s">
        <v>19</v>
      </c>
      <c r="O2" s="52" t="s">
        <v>20</v>
      </c>
      <c r="P2" s="52" t="s">
        <v>21</v>
      </c>
      <c r="Q2" s="52" t="s">
        <v>60</v>
      </c>
      <c r="R2" s="52" t="s">
        <v>61</v>
      </c>
      <c r="S2" s="52" t="s">
        <v>22</v>
      </c>
      <c r="T2" s="52" t="s">
        <v>62</v>
      </c>
      <c r="U2" s="52" t="s">
        <v>63</v>
      </c>
      <c r="V2" s="53" t="s">
        <v>23</v>
      </c>
      <c r="W2" s="52" t="s">
        <v>24</v>
      </c>
      <c r="X2" s="52" t="s">
        <v>25</v>
      </c>
      <c r="Y2" s="52" t="s">
        <v>26</v>
      </c>
    </row>
    <row r="3" spans="1:25" x14ac:dyDescent="0.25">
      <c r="A3" s="47"/>
      <c r="B3" s="47"/>
      <c r="C3" s="47"/>
      <c r="D3" s="47"/>
      <c r="E3" s="47"/>
      <c r="F3" s="47"/>
      <c r="G3" s="52"/>
      <c r="H3" s="47"/>
      <c r="I3" s="47"/>
      <c r="J3" s="47"/>
      <c r="K3" s="47"/>
      <c r="L3" s="52"/>
      <c r="M3" s="52"/>
      <c r="N3" s="52"/>
      <c r="O3" s="52"/>
      <c r="P3" s="52"/>
      <c r="Q3" s="52"/>
      <c r="R3" s="52"/>
      <c r="S3" s="52"/>
      <c r="T3" s="52"/>
      <c r="U3" s="52"/>
      <c r="V3" s="53"/>
      <c r="W3" s="52"/>
      <c r="X3" s="52"/>
      <c r="Y3" s="52"/>
    </row>
    <row r="4" spans="1:25" x14ac:dyDescent="0.25">
      <c r="A4" s="54" t="s">
        <v>83</v>
      </c>
      <c r="B4" s="55">
        <v>441452.31045029731</v>
      </c>
      <c r="C4" s="55">
        <v>1</v>
      </c>
      <c r="D4" s="56">
        <v>494124</v>
      </c>
      <c r="E4" s="56">
        <v>494124</v>
      </c>
      <c r="F4" s="56">
        <v>0</v>
      </c>
      <c r="G4" s="56">
        <v>456587.787501832</v>
      </c>
      <c r="H4" s="56">
        <v>0</v>
      </c>
      <c r="I4" s="56">
        <v>435277.48233733763</v>
      </c>
      <c r="J4" s="56">
        <v>435277.48233733763</v>
      </c>
      <c r="K4" s="56">
        <v>0</v>
      </c>
      <c r="L4" s="56">
        <v>538088.44337722776</v>
      </c>
      <c r="M4" s="57">
        <v>0</v>
      </c>
      <c r="N4" s="57">
        <v>751218.60388333059</v>
      </c>
      <c r="O4" s="57">
        <v>0.62377919999999987</v>
      </c>
      <c r="P4" s="57">
        <v>318404.26650658413</v>
      </c>
      <c r="Q4" s="57">
        <v>318404.26650658413</v>
      </c>
      <c r="R4" s="57">
        <v>0</v>
      </c>
      <c r="S4" s="58">
        <v>49750.559595148792</v>
      </c>
      <c r="T4" s="57">
        <v>49750.559595148792</v>
      </c>
      <c r="U4" s="57"/>
      <c r="V4" s="59">
        <v>1.1377431140902687</v>
      </c>
      <c r="W4" s="41">
        <v>0.50382474869506566</v>
      </c>
      <c r="X4" s="41" t="s">
        <v>27</v>
      </c>
      <c r="Y4" s="41">
        <v>0.27547397801716583</v>
      </c>
    </row>
    <row r="5" spans="1:25" ht="15.75" thickBot="1" x14ac:dyDescent="0.3">
      <c r="A5" s="60" t="s">
        <v>79</v>
      </c>
      <c r="B5" s="26"/>
      <c r="C5" s="26"/>
      <c r="D5" s="32"/>
      <c r="E5" s="32"/>
      <c r="F5" s="32"/>
      <c r="G5" s="32"/>
      <c r="H5" s="32"/>
      <c r="I5" s="32"/>
      <c r="J5" s="32"/>
      <c r="K5" s="32"/>
      <c r="L5" s="32"/>
      <c r="M5" s="61"/>
      <c r="N5" s="61"/>
      <c r="O5" s="61"/>
      <c r="P5" s="61"/>
      <c r="Q5" s="61"/>
      <c r="R5" s="61"/>
      <c r="S5" s="62"/>
      <c r="T5" s="61"/>
      <c r="U5" s="61"/>
      <c r="V5" s="46"/>
      <c r="W5" s="46"/>
      <c r="X5" s="46"/>
      <c r="Y5" s="46"/>
    </row>
    <row r="6" spans="1:25" ht="15.75" thickTop="1" x14ac:dyDescent="0.25">
      <c r="A6" s="63" t="s">
        <v>80</v>
      </c>
      <c r="B6" s="64">
        <v>441452.31045029731</v>
      </c>
      <c r="C6" s="64">
        <v>1</v>
      </c>
      <c r="D6" s="64">
        <v>494124</v>
      </c>
      <c r="E6" s="64">
        <v>494124</v>
      </c>
      <c r="F6" s="64">
        <v>0</v>
      </c>
      <c r="G6" s="64">
        <v>456587.787501832</v>
      </c>
      <c r="H6" s="64">
        <v>0</v>
      </c>
      <c r="I6" s="64">
        <v>435277.48233733763</v>
      </c>
      <c r="J6" s="64">
        <v>435277.48233733763</v>
      </c>
      <c r="K6" s="64">
        <v>0</v>
      </c>
      <c r="L6" s="64">
        <v>538088.44337722776</v>
      </c>
      <c r="M6" s="65">
        <v>0</v>
      </c>
      <c r="N6" s="65">
        <v>751218.60388333059</v>
      </c>
      <c r="O6" s="65">
        <v>0.62377919999999987</v>
      </c>
      <c r="P6" s="65">
        <v>318404.26650658413</v>
      </c>
      <c r="Q6" s="65">
        <v>318404.26650658413</v>
      </c>
      <c r="R6" s="65">
        <v>0</v>
      </c>
      <c r="S6" s="65">
        <v>49750.559595148792</v>
      </c>
      <c r="T6" s="65">
        <v>49750.559595148792</v>
      </c>
      <c r="U6" s="65">
        <v>0</v>
      </c>
      <c r="V6" s="41">
        <v>1.1377431140902687</v>
      </c>
      <c r="W6" s="41">
        <v>0.50382474869506566</v>
      </c>
      <c r="X6" s="41" t="s">
        <v>27</v>
      </c>
      <c r="Y6" s="41">
        <v>0.27547397801716583</v>
      </c>
    </row>
    <row r="7" spans="1:25" x14ac:dyDescent="0.25">
      <c r="A7" s="54"/>
      <c r="B7" s="55"/>
      <c r="C7" s="55"/>
      <c r="D7" s="56"/>
      <c r="E7" s="56"/>
      <c r="F7" s="56"/>
      <c r="G7" s="56"/>
      <c r="H7" s="56"/>
      <c r="I7" s="56"/>
      <c r="J7" s="56"/>
      <c r="K7" s="56"/>
      <c r="L7" s="56"/>
      <c r="M7" s="57"/>
      <c r="N7" s="57"/>
      <c r="O7" s="57"/>
      <c r="P7" s="57"/>
      <c r="Q7" s="57"/>
      <c r="R7" s="57"/>
      <c r="S7" s="57"/>
      <c r="T7" s="57"/>
      <c r="U7" s="57"/>
      <c r="V7" s="59"/>
      <c r="W7" s="59"/>
      <c r="X7" s="59"/>
      <c r="Y7" s="59"/>
    </row>
    <row r="8" spans="1:25" x14ac:dyDescent="0.25">
      <c r="A8" s="63" t="s">
        <v>73</v>
      </c>
      <c r="B8" s="55">
        <v>2511366.25</v>
      </c>
      <c r="C8" s="55">
        <v>0</v>
      </c>
      <c r="D8" s="56">
        <v>2633070.25</v>
      </c>
      <c r="E8" s="56">
        <v>2633070.25</v>
      </c>
      <c r="F8" s="56">
        <v>0</v>
      </c>
      <c r="G8" s="56">
        <v>2930834.2190757818</v>
      </c>
      <c r="H8" s="56">
        <v>0</v>
      </c>
      <c r="I8" s="56">
        <v>457272.64456550579</v>
      </c>
      <c r="J8" s="56">
        <v>457272.64456550579</v>
      </c>
      <c r="K8" s="56">
        <v>0</v>
      </c>
      <c r="L8" s="56">
        <v>595000</v>
      </c>
      <c r="M8" s="57">
        <v>0</v>
      </c>
      <c r="N8" s="57">
        <v>4853999.6769620432</v>
      </c>
      <c r="O8" s="57">
        <v>0</v>
      </c>
      <c r="P8" s="57">
        <v>0</v>
      </c>
      <c r="Q8" s="57">
        <v>0</v>
      </c>
      <c r="R8" s="57">
        <v>0</v>
      </c>
      <c r="S8" s="58">
        <v>319348.53815827472</v>
      </c>
      <c r="T8" s="57">
        <v>319348.53815827472</v>
      </c>
      <c r="U8" s="57"/>
      <c r="V8" s="59">
        <v>1.2623268639779508</v>
      </c>
      <c r="W8" s="41">
        <v>3.2053796739033569</v>
      </c>
      <c r="X8" s="41">
        <v>2.6060300529520752</v>
      </c>
      <c r="Y8" s="41">
        <v>0.50808899008442576</v>
      </c>
    </row>
    <row r="9" spans="1:25" x14ac:dyDescent="0.25">
      <c r="A9" s="63" t="s">
        <v>76</v>
      </c>
      <c r="B9" s="55">
        <v>3865237</v>
      </c>
      <c r="C9" s="55">
        <v>0</v>
      </c>
      <c r="D9" s="56">
        <v>2246621</v>
      </c>
      <c r="E9" s="56">
        <v>2246621</v>
      </c>
      <c r="F9" s="56">
        <v>0</v>
      </c>
      <c r="G9" s="56">
        <v>2321816.1742108865</v>
      </c>
      <c r="H9" s="56">
        <v>0</v>
      </c>
      <c r="I9" s="56">
        <v>0</v>
      </c>
      <c r="J9" s="56">
        <v>0</v>
      </c>
      <c r="K9" s="56">
        <v>0</v>
      </c>
      <c r="L9" s="56">
        <v>2246621</v>
      </c>
      <c r="M9" s="57">
        <v>0</v>
      </c>
      <c r="N9" s="57">
        <v>3600695.9630978177</v>
      </c>
      <c r="O9" s="57">
        <v>0</v>
      </c>
      <c r="P9" s="57">
        <v>0</v>
      </c>
      <c r="Q9" s="57">
        <v>0</v>
      </c>
      <c r="R9" s="57">
        <v>0</v>
      </c>
      <c r="S9" s="58">
        <v>252988.92591076059</v>
      </c>
      <c r="T9" s="57">
        <v>252988.92591076059</v>
      </c>
      <c r="U9" s="57"/>
      <c r="V9" s="59">
        <v>1.0217585412657528</v>
      </c>
      <c r="W9" s="41">
        <v>0.92887140115068434</v>
      </c>
      <c r="X9" s="99" t="e">
        <v>#DIV/0!</v>
      </c>
      <c r="Y9" s="41">
        <v>0.38060651653457139</v>
      </c>
    </row>
    <row r="10" spans="1:25" x14ac:dyDescent="0.25">
      <c r="A10" s="66" t="s">
        <v>54</v>
      </c>
      <c r="B10" s="55">
        <v>0</v>
      </c>
      <c r="C10" s="55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8">
        <v>0</v>
      </c>
      <c r="T10" s="57">
        <v>0</v>
      </c>
      <c r="U10" s="57"/>
      <c r="V10" s="59" t="e">
        <v>#DIV/0!</v>
      </c>
      <c r="W10" s="41" t="e">
        <v>#DIV/0!</v>
      </c>
      <c r="X10" s="41" t="e">
        <v>#DIV/0!</v>
      </c>
      <c r="Y10" s="41" t="e">
        <v>#DIV/0!</v>
      </c>
    </row>
    <row r="11" spans="1:25" ht="15.75" thickBot="1" x14ac:dyDescent="0.3">
      <c r="A11" s="60" t="s">
        <v>79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1"/>
      <c r="V11" s="46">
        <v>2.0077822520694459</v>
      </c>
      <c r="W11" s="46">
        <v>2.3410500089338209</v>
      </c>
      <c r="X11" s="46">
        <v>15.191105956062005</v>
      </c>
      <c r="Y11" s="46">
        <v>0.4423079200432623</v>
      </c>
    </row>
    <row r="12" spans="1:25" ht="15.75" thickTop="1" x14ac:dyDescent="0.25">
      <c r="A12" s="63" t="s">
        <v>29</v>
      </c>
      <c r="B12" s="55">
        <v>6376603.25</v>
      </c>
      <c r="C12" s="55">
        <v>0</v>
      </c>
      <c r="D12" s="55">
        <v>4879691.25</v>
      </c>
      <c r="E12" s="55">
        <v>4879691.25</v>
      </c>
      <c r="F12" s="55">
        <v>0</v>
      </c>
      <c r="G12" s="55">
        <v>5252650.3932866678</v>
      </c>
      <c r="H12" s="55">
        <v>0</v>
      </c>
      <c r="I12" s="55">
        <v>457272.64456550579</v>
      </c>
      <c r="J12" s="55">
        <v>457272.64456550579</v>
      </c>
      <c r="K12" s="55">
        <v>0</v>
      </c>
      <c r="L12" s="55">
        <v>2841621</v>
      </c>
      <c r="M12" s="55">
        <v>0</v>
      </c>
      <c r="N12" s="55">
        <v>8454695.6400598604</v>
      </c>
      <c r="O12" s="55">
        <v>0</v>
      </c>
      <c r="P12" s="55">
        <v>0</v>
      </c>
      <c r="Q12" s="55">
        <v>0</v>
      </c>
      <c r="R12" s="55">
        <v>0</v>
      </c>
      <c r="S12" s="55">
        <v>572337.46406903537</v>
      </c>
      <c r="T12" s="55">
        <v>572337.46406903537</v>
      </c>
      <c r="U12" s="55">
        <v>0</v>
      </c>
      <c r="V12" s="59">
        <v>1.1520326966417846</v>
      </c>
      <c r="W12" s="41">
        <v>1.5385806384492824</v>
      </c>
      <c r="X12" s="41">
        <v>4.3727483312341002</v>
      </c>
      <c r="Y12" s="41">
        <v>0.44256495700379062</v>
      </c>
    </row>
    <row r="13" spans="1:25" x14ac:dyDescent="0.25">
      <c r="A13" s="54"/>
      <c r="B13" s="55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7"/>
      <c r="N13" s="57"/>
      <c r="O13" s="57"/>
      <c r="P13" s="57"/>
      <c r="Q13" s="57"/>
      <c r="R13" s="57"/>
      <c r="S13" s="57"/>
      <c r="T13" s="57"/>
      <c r="U13" s="57"/>
      <c r="V13" s="59"/>
      <c r="W13" s="59"/>
      <c r="X13" s="59"/>
      <c r="Y13" s="59"/>
    </row>
    <row r="14" spans="1:25" x14ac:dyDescent="0.25">
      <c r="A14" s="63" t="s">
        <v>65</v>
      </c>
      <c r="B14" s="55">
        <v>7796208</v>
      </c>
      <c r="C14" s="55">
        <v>-96775.109524800006</v>
      </c>
      <c r="D14" s="56">
        <v>2108118.5</v>
      </c>
      <c r="E14" s="56">
        <v>2108118.5</v>
      </c>
      <c r="F14" s="56">
        <v>0</v>
      </c>
      <c r="G14" s="56">
        <v>4055466.704287794</v>
      </c>
      <c r="H14" s="56">
        <v>-515841.75361362507</v>
      </c>
      <c r="I14" s="56">
        <v>0</v>
      </c>
      <c r="J14" s="56">
        <v>0</v>
      </c>
      <c r="K14" s="56">
        <v>0</v>
      </c>
      <c r="L14" s="56">
        <v>1131800</v>
      </c>
      <c r="M14" s="57">
        <v>0</v>
      </c>
      <c r="N14" s="57">
        <v>7288300.7830603616</v>
      </c>
      <c r="O14" s="57">
        <v>-726956.38085956965</v>
      </c>
      <c r="P14" s="57">
        <v>0</v>
      </c>
      <c r="Q14" s="57">
        <v>0</v>
      </c>
      <c r="R14" s="57">
        <v>0</v>
      </c>
      <c r="S14" s="58">
        <v>441890.35160517081</v>
      </c>
      <c r="T14" s="57">
        <v>441890.35160517081</v>
      </c>
      <c r="U14" s="57"/>
      <c r="V14" s="59">
        <v>1.5268917373720738</v>
      </c>
      <c r="W14" s="41">
        <v>2.2492512247175793</v>
      </c>
      <c r="X14" s="41">
        <v>6.7204958240582267</v>
      </c>
      <c r="Y14" s="41">
        <v>0.43510876816084415</v>
      </c>
    </row>
    <row r="15" spans="1:25" x14ac:dyDescent="0.25">
      <c r="A15" s="63" t="s">
        <v>66</v>
      </c>
      <c r="B15" s="55">
        <v>9078358.75</v>
      </c>
      <c r="C15" s="55">
        <v>0</v>
      </c>
      <c r="D15" s="56">
        <v>2755110.25</v>
      </c>
      <c r="E15" s="56">
        <v>2755110.25</v>
      </c>
      <c r="F15" s="56">
        <v>0</v>
      </c>
      <c r="G15" s="56">
        <v>4909379.8532683877</v>
      </c>
      <c r="H15" s="56">
        <v>0</v>
      </c>
      <c r="I15" s="56">
        <v>4600119.3639528174</v>
      </c>
      <c r="J15" s="56">
        <v>4600119.3639528174</v>
      </c>
      <c r="K15" s="56">
        <v>0</v>
      </c>
      <c r="L15" s="56">
        <v>1754700</v>
      </c>
      <c r="M15" s="57">
        <v>0</v>
      </c>
      <c r="N15" s="57">
        <v>8214025.7268531816</v>
      </c>
      <c r="O15" s="57">
        <v>0</v>
      </c>
      <c r="P15" s="57">
        <v>0</v>
      </c>
      <c r="Q15" s="57">
        <v>0</v>
      </c>
      <c r="R15" s="57">
        <v>0</v>
      </c>
      <c r="S15" s="58">
        <v>534934.13895629381</v>
      </c>
      <c r="T15" s="57">
        <v>534934.13895629381</v>
      </c>
      <c r="U15" s="57"/>
      <c r="V15" s="59">
        <v>3.1794249263189149</v>
      </c>
      <c r="W15" s="41">
        <v>2.1441765606736971</v>
      </c>
      <c r="X15" s="41">
        <v>12.808890243583569</v>
      </c>
      <c r="Y15" s="41">
        <v>0.46739707073426268</v>
      </c>
    </row>
    <row r="16" spans="1:25" x14ac:dyDescent="0.25">
      <c r="A16" s="63" t="s">
        <v>67</v>
      </c>
      <c r="B16" s="55">
        <v>16600000</v>
      </c>
      <c r="C16" s="55">
        <v>0</v>
      </c>
      <c r="D16" s="56">
        <v>7294040</v>
      </c>
      <c r="E16" s="56">
        <v>7294040</v>
      </c>
      <c r="F16" s="56">
        <v>0</v>
      </c>
      <c r="G16" s="56">
        <v>11194079.880977545</v>
      </c>
      <c r="H16" s="56">
        <v>0</v>
      </c>
      <c r="I16" s="56">
        <v>0</v>
      </c>
      <c r="J16" s="56">
        <v>0</v>
      </c>
      <c r="K16" s="56">
        <v>0</v>
      </c>
      <c r="L16" s="56">
        <v>2556400</v>
      </c>
      <c r="M16" s="57">
        <v>0</v>
      </c>
      <c r="N16" s="57">
        <v>20618503.854545452</v>
      </c>
      <c r="O16" s="57">
        <v>0</v>
      </c>
      <c r="P16" s="57">
        <v>0</v>
      </c>
      <c r="Q16" s="57">
        <v>0</v>
      </c>
      <c r="R16" s="57">
        <v>0</v>
      </c>
      <c r="S16" s="58">
        <v>1219725.4361061833</v>
      </c>
      <c r="T16" s="57">
        <v>1219725.4361061833</v>
      </c>
      <c r="U16" s="57"/>
      <c r="V16" s="59">
        <v>1.4463033967150196</v>
      </c>
      <c r="W16" s="41">
        <v>2.9644353902926786</v>
      </c>
      <c r="X16" s="41">
        <v>4.3520621774861432</v>
      </c>
      <c r="Y16" s="41">
        <v>0.45887476901595198</v>
      </c>
    </row>
    <row r="17" spans="1:25" x14ac:dyDescent="0.25">
      <c r="A17" s="63" t="s">
        <v>68</v>
      </c>
      <c r="B17" s="55">
        <v>535000</v>
      </c>
      <c r="C17" s="55">
        <v>0</v>
      </c>
      <c r="D17" s="56">
        <v>175000</v>
      </c>
      <c r="E17" s="56">
        <v>175000</v>
      </c>
      <c r="F17" s="56">
        <v>0</v>
      </c>
      <c r="G17" s="56">
        <v>636754.29130777519</v>
      </c>
      <c r="H17" s="56">
        <v>0</v>
      </c>
      <c r="I17" s="56">
        <v>0</v>
      </c>
      <c r="J17" s="56">
        <v>0</v>
      </c>
      <c r="K17" s="56">
        <v>0</v>
      </c>
      <c r="L17" s="56">
        <v>115000</v>
      </c>
      <c r="M17" s="57">
        <v>0</v>
      </c>
      <c r="N17" s="57">
        <v>913704.02999999991</v>
      </c>
      <c r="O17" s="57">
        <v>0</v>
      </c>
      <c r="P17" s="57">
        <v>0</v>
      </c>
      <c r="Q17" s="57">
        <v>0</v>
      </c>
      <c r="R17" s="57">
        <v>0</v>
      </c>
      <c r="S17" s="58">
        <v>69381.799479354435</v>
      </c>
      <c r="T17" s="57">
        <v>69381.799479354435</v>
      </c>
      <c r="U17" s="57"/>
      <c r="V17" s="59">
        <v>2.8661288276409702</v>
      </c>
      <c r="W17" s="41">
        <v>3.4534552385636834</v>
      </c>
      <c r="X17" s="41">
        <v>15.228400499999999</v>
      </c>
      <c r="Y17" s="41">
        <v>0.5798766127504672</v>
      </c>
    </row>
    <row r="18" spans="1:25" x14ac:dyDescent="0.25">
      <c r="A18" s="63" t="s">
        <v>32</v>
      </c>
      <c r="B18" s="55">
        <v>52126</v>
      </c>
      <c r="C18" s="55">
        <v>0</v>
      </c>
      <c r="D18" s="56">
        <v>8611.82</v>
      </c>
      <c r="E18" s="56">
        <v>8611.82</v>
      </c>
      <c r="F18" s="56">
        <v>0</v>
      </c>
      <c r="G18" s="56">
        <v>17702.751161086813</v>
      </c>
      <c r="H18" s="56">
        <v>0</v>
      </c>
      <c r="I18" s="56">
        <v>0</v>
      </c>
      <c r="J18" s="56">
        <v>0</v>
      </c>
      <c r="K18" s="56">
        <v>0</v>
      </c>
      <c r="L18" s="56">
        <v>6340</v>
      </c>
      <c r="M18" s="57">
        <v>0</v>
      </c>
      <c r="N18" s="57">
        <v>32290.781725636356</v>
      </c>
      <c r="O18" s="57">
        <v>0</v>
      </c>
      <c r="P18" s="57">
        <v>2606.3000000000002</v>
      </c>
      <c r="Q18" s="57">
        <v>2606.3000000000002</v>
      </c>
      <c r="R18" s="57">
        <v>0</v>
      </c>
      <c r="S18" s="58">
        <v>1928.9210109111934</v>
      </c>
      <c r="T18" s="57">
        <v>1928.9210109111934</v>
      </c>
      <c r="U18" s="57"/>
      <c r="V18" s="59">
        <v>1.4811717907500359</v>
      </c>
      <c r="W18" s="41">
        <v>1.627806105579418</v>
      </c>
      <c r="X18" s="41">
        <v>14.21361803559981</v>
      </c>
      <c r="Y18" s="41">
        <v>0.41010865122561707</v>
      </c>
    </row>
    <row r="19" spans="1:25" x14ac:dyDescent="0.25">
      <c r="A19" s="63" t="s">
        <v>69</v>
      </c>
      <c r="B19" s="55">
        <v>967250</v>
      </c>
      <c r="C19" s="55">
        <v>0</v>
      </c>
      <c r="D19" s="56">
        <v>150000</v>
      </c>
      <c r="E19" s="56">
        <v>150000</v>
      </c>
      <c r="F19" s="56">
        <v>0</v>
      </c>
      <c r="G19" s="56">
        <v>640202.23786833487</v>
      </c>
      <c r="H19" s="56">
        <v>0</v>
      </c>
      <c r="I19" s="56">
        <v>0</v>
      </c>
      <c r="J19" s="56">
        <v>0</v>
      </c>
      <c r="K19" s="56">
        <v>0</v>
      </c>
      <c r="L19" s="56">
        <v>97500</v>
      </c>
      <c r="M19" s="57">
        <v>0</v>
      </c>
      <c r="N19" s="57">
        <v>1201400.473090909</v>
      </c>
      <c r="O19" s="57">
        <v>0</v>
      </c>
      <c r="P19" s="57">
        <v>0</v>
      </c>
      <c r="Q19" s="57">
        <v>0</v>
      </c>
      <c r="R19" s="57">
        <v>0</v>
      </c>
      <c r="S19" s="58">
        <v>69757.493432494448</v>
      </c>
      <c r="T19" s="57">
        <v>69757.493432494448</v>
      </c>
      <c r="U19" s="57"/>
      <c r="V19" s="59">
        <v>3.2045435659808015</v>
      </c>
      <c r="W19" s="41">
        <v>3.8276445780094277</v>
      </c>
      <c r="X19" s="41">
        <v>22.883818535064933</v>
      </c>
      <c r="Y19" s="41">
        <v>0.46775911405721377</v>
      </c>
    </row>
    <row r="20" spans="1:25" x14ac:dyDescent="0.25">
      <c r="A20" s="63" t="s">
        <v>70</v>
      </c>
      <c r="B20" s="55">
        <v>400000</v>
      </c>
      <c r="C20" s="55">
        <v>0</v>
      </c>
      <c r="D20" s="56">
        <v>26025</v>
      </c>
      <c r="E20" s="56">
        <v>26025</v>
      </c>
      <c r="F20" s="56">
        <v>0</v>
      </c>
      <c r="G20" s="56">
        <v>206953.42626960331</v>
      </c>
      <c r="H20" s="56">
        <v>0</v>
      </c>
      <c r="I20" s="56">
        <v>0</v>
      </c>
      <c r="J20" s="56">
        <v>0</v>
      </c>
      <c r="K20" s="56">
        <v>0</v>
      </c>
      <c r="L20" s="56">
        <v>26025</v>
      </c>
      <c r="M20" s="57">
        <v>0</v>
      </c>
      <c r="N20" s="57">
        <v>372623.5636363636</v>
      </c>
      <c r="O20" s="57">
        <v>0</v>
      </c>
      <c r="P20" s="57">
        <v>0</v>
      </c>
      <c r="Q20" s="57">
        <v>0</v>
      </c>
      <c r="R20" s="57">
        <v>0</v>
      </c>
      <c r="S20" s="58">
        <v>22549.987207016173</v>
      </c>
      <c r="T20" s="57">
        <v>22549.987207016173</v>
      </c>
      <c r="U20" s="57"/>
      <c r="V20" s="59">
        <v>4.6865430540696478</v>
      </c>
      <c r="W20" s="41">
        <v>4.2604936855178615</v>
      </c>
      <c r="X20" s="41" t="e">
        <v>#DIV/0!</v>
      </c>
      <c r="Y20" s="41">
        <v>0.49134410803459233</v>
      </c>
    </row>
    <row r="21" spans="1:25" x14ac:dyDescent="0.25">
      <c r="A21" s="63" t="s">
        <v>84</v>
      </c>
      <c r="B21" s="64">
        <v>442234</v>
      </c>
      <c r="C21" s="64">
        <v>0</v>
      </c>
      <c r="D21" s="68">
        <v>109330.37700000002</v>
      </c>
      <c r="E21" s="68">
        <v>109330.37700000002</v>
      </c>
      <c r="F21" s="68">
        <v>0</v>
      </c>
      <c r="G21" s="68">
        <v>249097.17911346885</v>
      </c>
      <c r="H21" s="68">
        <v>0</v>
      </c>
      <c r="I21" s="68">
        <v>0</v>
      </c>
      <c r="J21" s="68">
        <v>0</v>
      </c>
      <c r="K21" s="68">
        <v>0</v>
      </c>
      <c r="L21" s="68">
        <v>79262</v>
      </c>
      <c r="M21" s="69">
        <v>0</v>
      </c>
      <c r="N21" s="69">
        <v>456771.90093381813</v>
      </c>
      <c r="O21" s="69">
        <v>0</v>
      </c>
      <c r="P21" s="69">
        <v>0</v>
      </c>
      <c r="Q21" s="69">
        <v>0</v>
      </c>
      <c r="R21" s="69">
        <v>0</v>
      </c>
      <c r="S21" s="58">
        <v>27142.040137064243</v>
      </c>
      <c r="T21" s="57">
        <v>27142.040137064243</v>
      </c>
      <c r="U21" s="69"/>
      <c r="V21" s="59">
        <v>2.0077822520694459</v>
      </c>
      <c r="W21" s="41">
        <v>2.3410500089338209</v>
      </c>
      <c r="X21" s="41">
        <v>15.191105956062005</v>
      </c>
      <c r="Y21" s="41">
        <v>0.4423079200432623</v>
      </c>
    </row>
    <row r="22" spans="1:25" x14ac:dyDescent="0.25">
      <c r="A22" s="63" t="s">
        <v>71</v>
      </c>
      <c r="B22" s="55">
        <v>157757</v>
      </c>
      <c r="C22" s="55">
        <v>0</v>
      </c>
      <c r="D22" s="56">
        <v>34849.856666666667</v>
      </c>
      <c r="E22" s="56">
        <v>34849.856666666667</v>
      </c>
      <c r="F22" s="56">
        <v>0</v>
      </c>
      <c r="G22" s="56">
        <v>54422.011631953901</v>
      </c>
      <c r="H22" s="56">
        <v>0</v>
      </c>
      <c r="I22" s="56">
        <v>101191.45783795482</v>
      </c>
      <c r="J22" s="56">
        <v>101191.45783795482</v>
      </c>
      <c r="K22" s="56">
        <v>0</v>
      </c>
      <c r="L22" s="56">
        <v>24640</v>
      </c>
      <c r="M22" s="57">
        <v>0</v>
      </c>
      <c r="N22" s="57">
        <v>98465.233281545472</v>
      </c>
      <c r="O22" s="57">
        <v>0</v>
      </c>
      <c r="P22" s="57">
        <v>0</v>
      </c>
      <c r="Q22" s="57">
        <v>0</v>
      </c>
      <c r="R22" s="57">
        <v>0</v>
      </c>
      <c r="S22" s="58">
        <v>5929.9122909031812</v>
      </c>
      <c r="T22" s="57">
        <v>5929.9122909031812</v>
      </c>
      <c r="U22" s="57"/>
      <c r="V22" s="59">
        <v>4.1975425754619149</v>
      </c>
      <c r="W22" s="41">
        <v>1.7802475556381787</v>
      </c>
      <c r="X22" s="41">
        <v>19.555288349085568</v>
      </c>
      <c r="Y22" s="41">
        <v>0.42176115189793684</v>
      </c>
    </row>
    <row r="23" spans="1:25" ht="15.75" thickBot="1" x14ac:dyDescent="0.3">
      <c r="A23" s="70" t="s">
        <v>72</v>
      </c>
      <c r="B23" s="26">
        <v>42000</v>
      </c>
      <c r="C23" s="26">
        <v>0</v>
      </c>
      <c r="D23" s="32">
        <v>10080</v>
      </c>
      <c r="E23" s="32">
        <v>10080</v>
      </c>
      <c r="F23" s="32">
        <v>0</v>
      </c>
      <c r="G23" s="32">
        <v>10080</v>
      </c>
      <c r="H23" s="32">
        <v>0</v>
      </c>
      <c r="I23" s="32">
        <v>0</v>
      </c>
      <c r="J23" s="32">
        <v>0</v>
      </c>
      <c r="K23" s="32">
        <v>0</v>
      </c>
      <c r="L23" s="32">
        <v>10080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2">
        <v>1993.8268104237418</v>
      </c>
      <c r="T23" s="61">
        <v>1993.8268104237418</v>
      </c>
      <c r="U23" s="61"/>
      <c r="V23" s="46">
        <v>0.9183500951353184</v>
      </c>
      <c r="W23" s="46">
        <v>0.83486372285028942</v>
      </c>
      <c r="X23" s="71" t="e">
        <v>#DIV/0!</v>
      </c>
      <c r="Y23" s="46">
        <v>0.83486372285028942</v>
      </c>
    </row>
    <row r="24" spans="1:25" ht="15.75" thickTop="1" x14ac:dyDescent="0.25">
      <c r="A24" s="38" t="s">
        <v>33</v>
      </c>
      <c r="B24" s="58">
        <v>36070933.75</v>
      </c>
      <c r="C24" s="58">
        <v>-96775.109524800006</v>
      </c>
      <c r="D24" s="58">
        <v>12671165.803666668</v>
      </c>
      <c r="E24" s="58">
        <v>12671165.803666668</v>
      </c>
      <c r="F24" s="58">
        <v>0</v>
      </c>
      <c r="G24" s="58">
        <v>21974138.335885949</v>
      </c>
      <c r="H24" s="58">
        <v>-515841.75361362507</v>
      </c>
      <c r="I24" s="58">
        <v>4701310.8217907725</v>
      </c>
      <c r="J24" s="58">
        <v>4701310.8217907725</v>
      </c>
      <c r="K24" s="58">
        <v>0</v>
      </c>
      <c r="L24" s="58">
        <v>5801747</v>
      </c>
      <c r="M24" s="58">
        <v>0</v>
      </c>
      <c r="N24" s="58">
        <v>39196086.347127266</v>
      </c>
      <c r="O24" s="58">
        <v>-726956.38085956965</v>
      </c>
      <c r="P24" s="58">
        <v>2606.3000000000002</v>
      </c>
      <c r="Q24" s="58">
        <v>2606.3000000000002</v>
      </c>
      <c r="R24" s="58">
        <v>0</v>
      </c>
      <c r="S24" s="58">
        <v>2395233.9070358151</v>
      </c>
      <c r="T24" s="58">
        <v>2395233.9070358151</v>
      </c>
      <c r="U24" s="58">
        <v>0</v>
      </c>
      <c r="V24" s="59">
        <v>1.9095863472369774</v>
      </c>
      <c r="W24" s="41">
        <v>2.6169971780847234</v>
      </c>
      <c r="X24" s="41">
        <v>6.2844386143723714</v>
      </c>
      <c r="Y24" s="41">
        <v>0.459800437680498</v>
      </c>
    </row>
    <row r="25" spans="1:25" x14ac:dyDescent="0.25">
      <c r="A25" s="38"/>
      <c r="B25" s="58"/>
      <c r="C25" s="5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9"/>
      <c r="W25" s="59"/>
      <c r="X25" s="59"/>
      <c r="Y25" s="59"/>
    </row>
    <row r="26" spans="1:25" ht="15.75" thickBot="1" x14ac:dyDescent="0.3">
      <c r="A26" s="43" t="s">
        <v>81</v>
      </c>
      <c r="B26" s="62">
        <v>42447537</v>
      </c>
      <c r="C26" s="62">
        <v>-96775.109524800006</v>
      </c>
      <c r="D26" s="62">
        <v>17550857.053666666</v>
      </c>
      <c r="E26" s="62">
        <v>17550857.053666666</v>
      </c>
      <c r="F26" s="62">
        <v>0</v>
      </c>
      <c r="G26" s="62">
        <v>27226788.729172617</v>
      </c>
      <c r="H26" s="62">
        <v>-515841.75361362507</v>
      </c>
      <c r="I26" s="62">
        <v>5158583.4663562784</v>
      </c>
      <c r="J26" s="62">
        <v>5158583.4663562784</v>
      </c>
      <c r="K26" s="62">
        <v>0</v>
      </c>
      <c r="L26" s="62">
        <v>8643368</v>
      </c>
      <c r="M26" s="62">
        <v>0</v>
      </c>
      <c r="N26" s="62">
        <v>47650781.987187125</v>
      </c>
      <c r="O26" s="62">
        <v>-726956.38085956965</v>
      </c>
      <c r="P26" s="62">
        <v>2606.3000000000002</v>
      </c>
      <c r="Q26" s="62">
        <v>2606.3000000000002</v>
      </c>
      <c r="R26" s="62">
        <v>0</v>
      </c>
      <c r="S26" s="62">
        <v>2967571.3711048504</v>
      </c>
      <c r="T26" s="62">
        <v>2967571.3711048504</v>
      </c>
      <c r="U26" s="62">
        <v>0</v>
      </c>
      <c r="V26" s="46">
        <v>1.7083194856538659</v>
      </c>
      <c r="W26" s="46">
        <v>2.2999820840260106</v>
      </c>
      <c r="X26" s="46">
        <v>5.8470359894795161</v>
      </c>
      <c r="Y26" s="46">
        <v>0.45630588447446596</v>
      </c>
    </row>
    <row r="27" spans="1:25" ht="15.75" thickTop="1" x14ac:dyDescent="0.25">
      <c r="A27" s="38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59"/>
      <c r="W27" s="47"/>
      <c r="X27" s="47"/>
      <c r="Y27" s="47"/>
    </row>
    <row r="28" spans="1:25" ht="15.75" thickBot="1" x14ac:dyDescent="0.3">
      <c r="A28" s="43" t="s">
        <v>82</v>
      </c>
      <c r="B28" s="62">
        <v>42888989.310450301</v>
      </c>
      <c r="C28" s="62">
        <v>-96774.109524800006</v>
      </c>
      <c r="D28" s="62">
        <v>18044981.053666666</v>
      </c>
      <c r="E28" s="62">
        <v>18044981.053666666</v>
      </c>
      <c r="F28" s="62">
        <v>0</v>
      </c>
      <c r="G28" s="62">
        <v>27683376.516674452</v>
      </c>
      <c r="H28" s="62">
        <v>-515841.75361362507</v>
      </c>
      <c r="I28" s="62">
        <v>5593860.9486936163</v>
      </c>
      <c r="J28" s="62">
        <v>5593860.9486936163</v>
      </c>
      <c r="K28" s="62">
        <v>0</v>
      </c>
      <c r="L28" s="62">
        <v>9181456.4433772266</v>
      </c>
      <c r="M28" s="62">
        <v>0</v>
      </c>
      <c r="N28" s="62">
        <v>48402000.591070458</v>
      </c>
      <c r="O28" s="62">
        <v>-726955.75708036963</v>
      </c>
      <c r="P28" s="62">
        <v>321010.56650658412</v>
      </c>
      <c r="Q28" s="62">
        <v>321010.56650658412</v>
      </c>
      <c r="R28" s="62">
        <v>0</v>
      </c>
      <c r="S28" s="62">
        <v>3017321.9306999994</v>
      </c>
      <c r="T28" s="62">
        <v>3017321.9306999994</v>
      </c>
      <c r="U28" s="62">
        <v>0</v>
      </c>
      <c r="V28" s="46">
        <v>1.6853110813341738</v>
      </c>
      <c r="W28" s="46">
        <v>2.16996747245437</v>
      </c>
      <c r="X28" s="46">
        <v>6.0099010410424309</v>
      </c>
      <c r="Y28" s="46">
        <v>0.45132668469193954</v>
      </c>
    </row>
    <row r="29" spans="1:25" ht="15.75" thickTop="1" x14ac:dyDescent="0.25"/>
    <row r="30" spans="1:25" x14ac:dyDescent="0.25">
      <c r="L30" s="72"/>
      <c r="S30" s="31"/>
    </row>
    <row r="31" spans="1:25" x14ac:dyDescent="0.25">
      <c r="L31" s="72"/>
    </row>
    <row r="32" spans="1:25" x14ac:dyDescent="0.25">
      <c r="B32" s="72"/>
      <c r="L32" s="72"/>
    </row>
    <row r="33" spans="2:14" x14ac:dyDescent="0.25">
      <c r="B33" s="72"/>
      <c r="L33" s="72"/>
      <c r="N33" s="73"/>
    </row>
    <row r="34" spans="2:14" x14ac:dyDescent="0.25">
      <c r="B34" s="72"/>
      <c r="N34" s="73"/>
    </row>
  </sheetData>
  <pageMargins left="0.7" right="0.7" top="0.75" bottom="0.75" header="0.3" footer="0.3"/>
  <pageSetup scale="89" fitToWidth="7" orientation="landscape" r:id="rId1"/>
  <headerFooter>
    <oddFooter>&amp;L&amp;F
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Y25"/>
  <sheetViews>
    <sheetView workbookViewId="0">
      <selection activeCell="D30" sqref="D30"/>
    </sheetView>
  </sheetViews>
  <sheetFormatPr defaultRowHeight="15" x14ac:dyDescent="0.25"/>
  <cols>
    <col min="1" max="1" width="38.28515625" style="47" bestFit="1" customWidth="1"/>
    <col min="2" max="2" width="10.5703125" style="1" bestFit="1" customWidth="1"/>
    <col min="3" max="3" width="9.140625" style="1"/>
    <col min="4" max="4" width="11.5703125" style="1" bestFit="1" customWidth="1"/>
    <col min="5" max="5" width="12" style="1" customWidth="1"/>
    <col min="6" max="6" width="13.140625" style="1" customWidth="1"/>
    <col min="7" max="7" width="11.85546875" style="1" customWidth="1"/>
    <col min="8" max="8" width="12.42578125" style="1" customWidth="1"/>
    <col min="9" max="9" width="11.5703125" style="1" customWidth="1"/>
    <col min="10" max="10" width="9.140625" style="1"/>
    <col min="11" max="11" width="10.42578125" style="1" customWidth="1"/>
    <col min="12" max="12" width="11.42578125" style="1" customWidth="1"/>
    <col min="13" max="13" width="11.85546875" style="1" customWidth="1"/>
    <col min="14" max="14" width="11.5703125" style="1" bestFit="1" customWidth="1"/>
    <col min="15" max="15" width="12.85546875" style="1" customWidth="1"/>
    <col min="16" max="16" width="10" style="1" bestFit="1" customWidth="1"/>
    <col min="17" max="17" width="9.140625" style="1"/>
    <col min="18" max="18" width="10" style="1" bestFit="1" customWidth="1"/>
    <col min="19" max="21" width="11.42578125" style="1" customWidth="1"/>
    <col min="22" max="16384" width="9.140625" style="1"/>
  </cols>
  <sheetData>
    <row r="2" spans="1:25" s="36" customFormat="1" ht="30" x14ac:dyDescent="0.25">
      <c r="A2" s="36" t="s">
        <v>8</v>
      </c>
      <c r="B2" s="36" t="s">
        <v>9</v>
      </c>
      <c r="C2" s="36" t="s">
        <v>10</v>
      </c>
      <c r="D2" s="36" t="s">
        <v>11</v>
      </c>
      <c r="E2" s="36" t="s">
        <v>12</v>
      </c>
      <c r="F2" s="36" t="s">
        <v>13</v>
      </c>
      <c r="G2" s="37" t="s">
        <v>14</v>
      </c>
      <c r="H2" s="36" t="s">
        <v>15</v>
      </c>
      <c r="I2" s="36" t="s">
        <v>16</v>
      </c>
      <c r="J2" s="36" t="s">
        <v>58</v>
      </c>
      <c r="K2" s="36" t="s">
        <v>59</v>
      </c>
      <c r="L2" s="37" t="s">
        <v>17</v>
      </c>
      <c r="M2" s="37" t="s">
        <v>18</v>
      </c>
      <c r="N2" s="37" t="s">
        <v>19</v>
      </c>
      <c r="O2" s="37" t="s">
        <v>20</v>
      </c>
      <c r="P2" s="37" t="s">
        <v>21</v>
      </c>
      <c r="Q2" s="37" t="s">
        <v>60</v>
      </c>
      <c r="R2" s="37" t="s">
        <v>61</v>
      </c>
      <c r="S2" s="37" t="s">
        <v>22</v>
      </c>
      <c r="T2" s="37" t="s">
        <v>62</v>
      </c>
      <c r="U2" s="37" t="s">
        <v>63</v>
      </c>
      <c r="V2" s="37" t="s">
        <v>23</v>
      </c>
      <c r="W2" s="37" t="s">
        <v>24</v>
      </c>
      <c r="X2" s="37" t="s">
        <v>25</v>
      </c>
      <c r="Y2" s="37" t="s">
        <v>26</v>
      </c>
    </row>
    <row r="3" spans="1:25" s="36" customFormat="1" x14ac:dyDescent="0.25">
      <c r="G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s="42" customFormat="1" ht="15.75" thickBot="1" x14ac:dyDescent="0.3">
      <c r="A4" s="43" t="s">
        <v>53</v>
      </c>
      <c r="B4" s="44">
        <v>0</v>
      </c>
      <c r="C4" s="44">
        <v>25742.555788400001</v>
      </c>
      <c r="D4" s="45">
        <v>1342204.5893600001</v>
      </c>
      <c r="E4" s="45">
        <v>0</v>
      </c>
      <c r="F4" s="45">
        <v>1342204.5893600001</v>
      </c>
      <c r="G4" s="45">
        <v>0</v>
      </c>
      <c r="H4" s="45">
        <v>544360.29461506277</v>
      </c>
      <c r="I4" s="45">
        <v>706609.24</v>
      </c>
      <c r="J4" s="45">
        <v>0</v>
      </c>
      <c r="K4" s="45">
        <v>706609.24</v>
      </c>
      <c r="L4" s="45">
        <v>0</v>
      </c>
      <c r="M4" s="45">
        <v>1342204.5893600001</v>
      </c>
      <c r="N4" s="45">
        <v>0</v>
      </c>
      <c r="O4" s="45">
        <v>631812.02298863034</v>
      </c>
      <c r="P4" s="45">
        <v>303830.67340399994</v>
      </c>
      <c r="Q4" s="45">
        <v>0</v>
      </c>
      <c r="R4" s="45">
        <v>303830.67340399994</v>
      </c>
      <c r="S4" s="45">
        <v>18652.838322148746</v>
      </c>
      <c r="T4" s="45"/>
      <c r="U4" s="45">
        <v>18652.838322148746</v>
      </c>
      <c r="V4" s="46">
        <v>0.75147382491582071</v>
      </c>
      <c r="W4" s="46">
        <v>0.32700437653148801</v>
      </c>
      <c r="X4" s="46" t="s">
        <v>27</v>
      </c>
      <c r="Y4" s="46">
        <v>0.23703908783126076</v>
      </c>
    </row>
    <row r="5" spans="1:25" ht="15.75" thickTop="1" x14ac:dyDescent="0.25">
      <c r="A5" s="47" t="s">
        <v>77</v>
      </c>
      <c r="B5" s="48">
        <v>0</v>
      </c>
      <c r="C5" s="48">
        <v>25742.555788400001</v>
      </c>
      <c r="D5" s="48">
        <v>1342204.5893600001</v>
      </c>
      <c r="E5" s="48">
        <v>0</v>
      </c>
      <c r="F5" s="48">
        <v>1342204.5893600001</v>
      </c>
      <c r="G5" s="48">
        <v>0</v>
      </c>
      <c r="H5" s="48">
        <v>544360.29461506277</v>
      </c>
      <c r="I5" s="48">
        <v>706609.24</v>
      </c>
      <c r="J5" s="48">
        <v>0</v>
      </c>
      <c r="K5" s="48">
        <v>706609.24</v>
      </c>
      <c r="L5" s="48">
        <v>0</v>
      </c>
      <c r="M5" s="48">
        <v>1342204.5893600001</v>
      </c>
      <c r="N5" s="48">
        <v>0</v>
      </c>
      <c r="O5" s="48">
        <v>631812.02298863034</v>
      </c>
      <c r="P5" s="48">
        <v>303830.67340399994</v>
      </c>
      <c r="Q5" s="48">
        <v>0</v>
      </c>
      <c r="R5" s="48">
        <v>303830.67340399994</v>
      </c>
      <c r="S5" s="48">
        <v>18652.838322148746</v>
      </c>
      <c r="T5" s="48">
        <v>0</v>
      </c>
      <c r="U5" s="48">
        <v>18652.838322148746</v>
      </c>
      <c r="V5" s="29">
        <v>0.75147382491582071</v>
      </c>
      <c r="W5" s="29">
        <v>0.32700437653148801</v>
      </c>
      <c r="X5" s="29" t="s">
        <v>27</v>
      </c>
      <c r="Y5" s="29">
        <v>0.23703908783126076</v>
      </c>
    </row>
    <row r="6" spans="1:25" x14ac:dyDescent="0.25">
      <c r="B6" s="48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50"/>
      <c r="X6" s="50"/>
      <c r="Y6" s="50"/>
    </row>
    <row r="7" spans="1:25" x14ac:dyDescent="0.25">
      <c r="A7" s="47" t="s">
        <v>28</v>
      </c>
      <c r="B7" s="48">
        <v>0</v>
      </c>
      <c r="C7" s="48">
        <v>641858.73857745016</v>
      </c>
      <c r="D7" s="49">
        <v>8460607.5</v>
      </c>
      <c r="E7" s="49"/>
      <c r="F7" s="49">
        <v>8460607.5</v>
      </c>
      <c r="G7" s="49"/>
      <c r="H7" s="49">
        <v>7483477.9256728478</v>
      </c>
      <c r="I7" s="49"/>
      <c r="J7" s="49"/>
      <c r="K7" s="49">
        <v>0</v>
      </c>
      <c r="L7" s="49"/>
      <c r="M7" s="49">
        <v>2992700</v>
      </c>
      <c r="N7" s="49"/>
      <c r="O7" s="49">
        <v>8858877.3582172263</v>
      </c>
      <c r="P7" s="49"/>
      <c r="Q7" s="49"/>
      <c r="R7" s="49">
        <v>0</v>
      </c>
      <c r="S7" s="40">
        <v>256425.94659416258</v>
      </c>
      <c r="T7" s="49"/>
      <c r="U7" s="49">
        <v>256425.94659416258</v>
      </c>
      <c r="V7" s="41">
        <v>0.85848906873206077</v>
      </c>
      <c r="W7" s="41">
        <v>2.3032280215290726</v>
      </c>
      <c r="X7" s="41">
        <v>1.6201585996502732</v>
      </c>
      <c r="Y7" s="41">
        <v>0.61806044624212475</v>
      </c>
    </row>
    <row r="8" spans="1:25" ht="15.75" thickBot="1" x14ac:dyDescent="0.3">
      <c r="A8" s="43" t="s">
        <v>76</v>
      </c>
      <c r="B8" s="44"/>
      <c r="C8" s="44">
        <v>1074</v>
      </c>
      <c r="D8" s="45">
        <v>12887.13</v>
      </c>
      <c r="E8" s="45"/>
      <c r="F8" s="45">
        <v>12887.13</v>
      </c>
      <c r="G8" s="45"/>
      <c r="H8" s="45">
        <v>5424.0447810779997</v>
      </c>
      <c r="I8" s="45"/>
      <c r="J8" s="45"/>
      <c r="K8" s="45"/>
      <c r="L8" s="45"/>
      <c r="M8" s="45">
        <v>12887.13</v>
      </c>
      <c r="N8" s="45"/>
      <c r="O8" s="45">
        <v>8039.2663295999982</v>
      </c>
      <c r="P8" s="45"/>
      <c r="Q8" s="45"/>
      <c r="R8" s="45"/>
      <c r="S8" s="45">
        <v>185.85821073722207</v>
      </c>
      <c r="T8" s="45"/>
      <c r="U8" s="45">
        <v>185.85821073722207</v>
      </c>
      <c r="V8" s="46">
        <v>0.41490474049560266</v>
      </c>
      <c r="W8" s="46">
        <v>0.41490474049560266</v>
      </c>
      <c r="X8" s="46" t="e">
        <v>#DIV/0!</v>
      </c>
      <c r="Y8" s="46">
        <v>0.25691452188181907</v>
      </c>
    </row>
    <row r="9" spans="1:25" ht="15.75" thickTop="1" x14ac:dyDescent="0.25">
      <c r="A9" s="38" t="s">
        <v>29</v>
      </c>
      <c r="B9" s="48">
        <v>0</v>
      </c>
      <c r="C9" s="48">
        <v>642932.73857745016</v>
      </c>
      <c r="D9" s="48">
        <v>8473494.6300000008</v>
      </c>
      <c r="E9" s="48">
        <v>0</v>
      </c>
      <c r="F9" s="48">
        <v>8473494.6300000008</v>
      </c>
      <c r="G9" s="48">
        <v>0</v>
      </c>
      <c r="H9" s="48">
        <v>7488901.9704539254</v>
      </c>
      <c r="I9" s="48">
        <v>0</v>
      </c>
      <c r="J9" s="48">
        <v>0</v>
      </c>
      <c r="K9" s="48">
        <v>0</v>
      </c>
      <c r="L9" s="48">
        <v>0</v>
      </c>
      <c r="M9" s="48">
        <v>3005587.13</v>
      </c>
      <c r="N9" s="48">
        <v>0</v>
      </c>
      <c r="O9" s="48">
        <v>8866916.6245468259</v>
      </c>
      <c r="P9" s="48">
        <v>0</v>
      </c>
      <c r="Q9" s="48">
        <v>0</v>
      </c>
      <c r="R9" s="48">
        <v>0</v>
      </c>
      <c r="S9" s="48">
        <v>256611.80480489982</v>
      </c>
      <c r="T9" s="48">
        <v>0</v>
      </c>
      <c r="U9" s="48">
        <v>256611.80480489982</v>
      </c>
      <c r="V9" s="41">
        <v>0.85782481878999972</v>
      </c>
      <c r="W9" s="41">
        <v>2.0869642950882228</v>
      </c>
      <c r="X9" s="41">
        <v>1.6216288634266078</v>
      </c>
      <c r="Y9" s="41">
        <v>0.61743182623731141</v>
      </c>
    </row>
    <row r="10" spans="1:25" x14ac:dyDescent="0.25"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29"/>
      <c r="W10" s="29"/>
      <c r="X10" s="29"/>
      <c r="Y10" s="29" t="e">
        <v>#DIV/0!</v>
      </c>
    </row>
    <row r="11" spans="1:25" x14ac:dyDescent="0.25">
      <c r="A11" s="47" t="s">
        <v>30</v>
      </c>
      <c r="B11" s="48"/>
      <c r="C11" s="48">
        <v>34620</v>
      </c>
      <c r="D11" s="49">
        <v>114152.5</v>
      </c>
      <c r="E11" s="49">
        <v>0</v>
      </c>
      <c r="F11" s="49">
        <v>114152.5</v>
      </c>
      <c r="G11" s="49">
        <v>0</v>
      </c>
      <c r="H11" s="49">
        <v>240362.75610194556</v>
      </c>
      <c r="I11" s="49">
        <v>0</v>
      </c>
      <c r="J11" s="49">
        <v>0</v>
      </c>
      <c r="K11" s="49">
        <v>0</v>
      </c>
      <c r="L11" s="49">
        <v>0</v>
      </c>
      <c r="M11" s="49">
        <v>96000</v>
      </c>
      <c r="N11" s="49">
        <v>0</v>
      </c>
      <c r="O11" s="49">
        <v>345523.7744639999</v>
      </c>
      <c r="P11" s="49">
        <v>0</v>
      </c>
      <c r="Q11" s="49">
        <v>0</v>
      </c>
      <c r="R11" s="49">
        <v>0</v>
      </c>
      <c r="S11" s="49">
        <v>8236.1767979534106</v>
      </c>
      <c r="T11" s="49">
        <v>0</v>
      </c>
      <c r="U11" s="49">
        <v>8236.1767979534106</v>
      </c>
      <c r="V11" s="41">
        <v>1.9639296901522261</v>
      </c>
      <c r="W11" s="41">
        <v>2.3059437086593615</v>
      </c>
      <c r="X11" s="41">
        <v>19.034500727943804</v>
      </c>
      <c r="Y11" s="41">
        <v>0.5344245423086843</v>
      </c>
    </row>
    <row r="12" spans="1:25" x14ac:dyDescent="0.25">
      <c r="A12" s="47" t="s">
        <v>31</v>
      </c>
      <c r="B12" s="48"/>
      <c r="C12" s="48">
        <v>26000</v>
      </c>
      <c r="D12" s="49">
        <v>82764.155976414855</v>
      </c>
      <c r="E12" s="49">
        <v>0</v>
      </c>
      <c r="F12" s="49">
        <v>82764.155976414855</v>
      </c>
      <c r="G12" s="49">
        <v>0</v>
      </c>
      <c r="H12" s="49">
        <v>240067.50735285849</v>
      </c>
      <c r="I12" s="49">
        <v>0</v>
      </c>
      <c r="J12" s="49">
        <v>0</v>
      </c>
      <c r="K12" s="49">
        <v>0</v>
      </c>
      <c r="L12" s="49">
        <v>0</v>
      </c>
      <c r="M12" s="49">
        <v>54065.440645233037</v>
      </c>
      <c r="N12" s="49">
        <v>0</v>
      </c>
      <c r="O12" s="49">
        <v>356801.70239999995</v>
      </c>
      <c r="P12" s="49">
        <v>0</v>
      </c>
      <c r="Q12" s="49">
        <v>0</v>
      </c>
      <c r="R12" s="49">
        <v>0</v>
      </c>
      <c r="S12" s="49">
        <v>8226.0599190479916</v>
      </c>
      <c r="T12" s="49">
        <v>0</v>
      </c>
      <c r="U12" s="49">
        <v>8226.0599190479916</v>
      </c>
      <c r="V12" s="41">
        <v>2.6383881496519153</v>
      </c>
      <c r="W12" s="41">
        <v>3.8539368160688867</v>
      </c>
      <c r="X12" s="41">
        <v>12.432671577195187</v>
      </c>
      <c r="Y12" s="41">
        <v>0.57282605791466223</v>
      </c>
    </row>
    <row r="13" spans="1:25" x14ac:dyDescent="0.25"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1"/>
      <c r="W13" s="41"/>
      <c r="X13" s="41"/>
      <c r="Y13" s="41"/>
    </row>
    <row r="14" spans="1:25" x14ac:dyDescent="0.25">
      <c r="A14" s="47" t="s">
        <v>74</v>
      </c>
      <c r="B14" s="48">
        <v>0</v>
      </c>
      <c r="C14" s="48">
        <v>57107.112375500001</v>
      </c>
      <c r="D14" s="49">
        <v>318990.45600000001</v>
      </c>
      <c r="E14" s="49">
        <v>0</v>
      </c>
      <c r="F14" s="49">
        <v>318990.45600000001</v>
      </c>
      <c r="G14" s="49">
        <v>0</v>
      </c>
      <c r="H14" s="49">
        <v>267275.14122865041</v>
      </c>
      <c r="I14" s="49">
        <v>12829.420558150816</v>
      </c>
      <c r="J14" s="49">
        <v>0</v>
      </c>
      <c r="K14" s="49">
        <v>12829.420558150816</v>
      </c>
      <c r="L14" s="49">
        <v>0</v>
      </c>
      <c r="M14" s="49">
        <v>111900</v>
      </c>
      <c r="N14" s="49">
        <v>0</v>
      </c>
      <c r="O14" s="49">
        <v>394864.12626514456</v>
      </c>
      <c r="P14" s="49">
        <v>0</v>
      </c>
      <c r="Q14" s="49">
        <v>0</v>
      </c>
      <c r="R14" s="49">
        <v>0</v>
      </c>
      <c r="S14" s="49">
        <v>9158.3461288132276</v>
      </c>
      <c r="T14" s="49">
        <v>0</v>
      </c>
      <c r="U14" s="49">
        <v>9158.3461288132276</v>
      </c>
      <c r="V14" s="41">
        <v>0.85359007855481217</v>
      </c>
      <c r="W14" s="41">
        <v>2.2078208547823204</v>
      </c>
      <c r="X14" s="41">
        <v>1.9686737607226832</v>
      </c>
      <c r="Y14" s="41">
        <v>0.5180529159516033</v>
      </c>
    </row>
    <row r="15" spans="1:25" x14ac:dyDescent="0.25">
      <c r="A15" s="47" t="s">
        <v>78</v>
      </c>
      <c r="B15" s="48"/>
      <c r="C15" s="48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1" t="e">
        <v>#DIV/0!</v>
      </c>
      <c r="W15" s="41" t="e">
        <v>#DIV/0!</v>
      </c>
      <c r="X15" s="41" t="e">
        <v>#DIV/0!</v>
      </c>
      <c r="Y15" s="41" t="e">
        <v>#DIV/0!</v>
      </c>
    </row>
    <row r="16" spans="1:25" x14ac:dyDescent="0.25">
      <c r="A16" s="47" t="s">
        <v>55</v>
      </c>
      <c r="B16" s="48">
        <v>0</v>
      </c>
      <c r="C16" s="48">
        <v>151000</v>
      </c>
      <c r="D16" s="49">
        <v>303510</v>
      </c>
      <c r="E16" s="49">
        <v>0</v>
      </c>
      <c r="F16" s="49">
        <v>303510</v>
      </c>
      <c r="G16" s="49">
        <v>0</v>
      </c>
      <c r="H16" s="49">
        <v>1003127.1853333403</v>
      </c>
      <c r="I16" s="49">
        <v>0</v>
      </c>
      <c r="J16" s="49">
        <v>0</v>
      </c>
      <c r="K16" s="49">
        <v>0</v>
      </c>
      <c r="L16" s="49">
        <v>0</v>
      </c>
      <c r="M16" s="49">
        <v>453000</v>
      </c>
      <c r="N16" s="49">
        <v>0</v>
      </c>
      <c r="O16" s="49">
        <v>1507050.5471999997</v>
      </c>
      <c r="P16" s="49">
        <v>0</v>
      </c>
      <c r="Q16" s="49">
        <v>0</v>
      </c>
      <c r="R16" s="49">
        <v>0</v>
      </c>
      <c r="S16" s="49">
        <v>34372.766327136873</v>
      </c>
      <c r="T16" s="49">
        <v>0</v>
      </c>
      <c r="U16" s="49">
        <v>34372.766327136873</v>
      </c>
      <c r="V16" s="41">
        <v>2.9688616446395377</v>
      </c>
      <c r="W16" s="41">
        <v>2.0582339733361632</v>
      </c>
      <c r="X16" s="41">
        <v>-10.081279999999998</v>
      </c>
      <c r="Y16" s="41">
        <v>0.50296603460742262</v>
      </c>
    </row>
    <row r="17" spans="1:25" ht="15.75" thickBot="1" x14ac:dyDescent="0.3">
      <c r="A17" s="43"/>
      <c r="B17" s="44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W17" s="46"/>
      <c r="X17" s="46"/>
      <c r="Y17" s="46"/>
    </row>
    <row r="18" spans="1:25" ht="15.75" thickTop="1" x14ac:dyDescent="0.25">
      <c r="A18" s="38" t="s">
        <v>56</v>
      </c>
      <c r="B18" s="48"/>
      <c r="C18" s="48">
        <v>268727.11237550003</v>
      </c>
      <c r="D18" s="48">
        <v>819417.11197641492</v>
      </c>
      <c r="E18" s="48"/>
      <c r="F18" s="48">
        <v>819417.11197641492</v>
      </c>
      <c r="G18" s="48"/>
      <c r="H18" s="48">
        <v>1750832.5900167949</v>
      </c>
      <c r="I18" s="48">
        <v>12829.420558150816</v>
      </c>
      <c r="J18" s="48"/>
      <c r="K18" s="48">
        <v>12829.420558150816</v>
      </c>
      <c r="L18" s="48"/>
      <c r="M18" s="48">
        <v>714965.44064523303</v>
      </c>
      <c r="N18" s="48"/>
      <c r="O18" s="48">
        <v>2604240.1503291437</v>
      </c>
      <c r="P18" s="48">
        <v>0</v>
      </c>
      <c r="Q18" s="48"/>
      <c r="R18" s="48">
        <v>0</v>
      </c>
      <c r="S18" s="49">
        <v>59993.349172951508</v>
      </c>
      <c r="T18" s="48"/>
      <c r="U18" s="48">
        <v>59993.349172951508</v>
      </c>
      <c r="V18" s="41">
        <v>2.0055049245944669</v>
      </c>
      <c r="W18" s="41">
        <v>2.2592589606313944</v>
      </c>
      <c r="X18" s="41">
        <v>25.05531541558036</v>
      </c>
      <c r="Y18" s="41">
        <v>0.51812060225742762</v>
      </c>
    </row>
    <row r="19" spans="1:25" x14ac:dyDescent="0.25">
      <c r="A19" s="38"/>
      <c r="B19" s="48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29"/>
      <c r="W19" s="29"/>
      <c r="X19" s="29"/>
      <c r="Y19" s="29"/>
    </row>
    <row r="20" spans="1:25" ht="15.75" thickBot="1" x14ac:dyDescent="0.3">
      <c r="A20" s="43" t="s">
        <v>57</v>
      </c>
      <c r="B20" s="44"/>
      <c r="C20" s="44">
        <v>911659.85095295019</v>
      </c>
      <c r="D20" s="44">
        <v>9292911.7419764157</v>
      </c>
      <c r="E20" s="44">
        <v>0</v>
      </c>
      <c r="F20" s="44">
        <v>9292911.7419764157</v>
      </c>
      <c r="G20" s="44">
        <v>0</v>
      </c>
      <c r="H20" s="44">
        <v>9239734.5604707208</v>
      </c>
      <c r="I20" s="44">
        <v>12829.420558150816</v>
      </c>
      <c r="J20" s="44">
        <v>0</v>
      </c>
      <c r="K20" s="44">
        <v>12829.420558150816</v>
      </c>
      <c r="L20" s="44">
        <v>0</v>
      </c>
      <c r="M20" s="44">
        <v>3720552.5706452327</v>
      </c>
      <c r="N20" s="44">
        <v>0</v>
      </c>
      <c r="O20" s="44">
        <v>11471156.774875969</v>
      </c>
      <c r="P20" s="44">
        <v>0</v>
      </c>
      <c r="Q20" s="44">
        <v>0</v>
      </c>
      <c r="R20" s="44">
        <v>0</v>
      </c>
      <c r="S20" s="44">
        <v>316605.15397785133</v>
      </c>
      <c r="T20" s="44">
        <v>0</v>
      </c>
      <c r="U20" s="44">
        <v>316605.15397785133</v>
      </c>
      <c r="V20" s="46">
        <v>0.9628542289076284</v>
      </c>
      <c r="W20" s="46">
        <v>2.2886731682828563</v>
      </c>
      <c r="X20" s="46">
        <v>2.0608840604742831</v>
      </c>
      <c r="Y20" s="46">
        <v>0.59579231261844623</v>
      </c>
    </row>
    <row r="21" spans="1:25" ht="15.75" thickTop="1" x14ac:dyDescent="0.25">
      <c r="A21" s="38"/>
    </row>
    <row r="22" spans="1:25" ht="15.75" thickBot="1" x14ac:dyDescent="0.3">
      <c r="A22" s="43" t="s">
        <v>97</v>
      </c>
      <c r="B22" s="44">
        <v>0</v>
      </c>
      <c r="C22" s="44">
        <v>937402.40674135019</v>
      </c>
      <c r="D22" s="44">
        <v>10635116.331336416</v>
      </c>
      <c r="E22" s="44">
        <v>0</v>
      </c>
      <c r="F22" s="44">
        <v>10635116.331336416</v>
      </c>
      <c r="G22" s="44">
        <v>0</v>
      </c>
      <c r="H22" s="44">
        <v>9784094.8550857827</v>
      </c>
      <c r="I22" s="44">
        <v>719438.66055815085</v>
      </c>
      <c r="J22" s="44">
        <v>0</v>
      </c>
      <c r="K22" s="44">
        <v>719438.66055815085</v>
      </c>
      <c r="L22" s="44">
        <v>0</v>
      </c>
      <c r="M22" s="44">
        <v>5062757.1600052323</v>
      </c>
      <c r="N22" s="44">
        <v>0</v>
      </c>
      <c r="O22" s="44">
        <v>12102968.797864599</v>
      </c>
      <c r="P22" s="44">
        <v>303830.67340399994</v>
      </c>
      <c r="Q22" s="44">
        <v>0</v>
      </c>
      <c r="R22" s="44">
        <v>303830.67340399994</v>
      </c>
      <c r="S22" s="44">
        <v>335257.99230000004</v>
      </c>
      <c r="T22" s="44">
        <v>0</v>
      </c>
      <c r="U22" s="44">
        <v>335257.99230000004</v>
      </c>
      <c r="V22" s="46">
        <v>0.9316429423095649</v>
      </c>
      <c r="W22" s="46">
        <v>1.7159521941070328</v>
      </c>
      <c r="X22" s="46">
        <v>2.3010733989280161</v>
      </c>
      <c r="Y22" s="46">
        <v>0.54951961376399283</v>
      </c>
    </row>
    <row r="23" spans="1:25" ht="15.75" thickTop="1" x14ac:dyDescent="0.25"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29"/>
      <c r="W23" s="29"/>
      <c r="X23" s="29"/>
      <c r="Y23" s="29"/>
    </row>
    <row r="24" spans="1:25" ht="15.75" thickBot="1" x14ac:dyDescent="0.3">
      <c r="A24" s="43"/>
      <c r="B24" s="44"/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51"/>
      <c r="W24" s="51"/>
      <c r="X24" s="51"/>
      <c r="Y24" s="51"/>
    </row>
    <row r="25" spans="1:25" ht="15.75" thickTop="1" x14ac:dyDescent="0.25"/>
  </sheetData>
  <pageMargins left="0.7" right="0.7" top="0.75" bottom="0.75" header="0.3" footer="0.3"/>
  <pageSetup fitToWidth="7" orientation="landscape" r:id="rId1"/>
  <headerFooter>
    <oddFooter>&amp;L&amp;F
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2019-11-06T08:00:00+00:00</OpenedDate>
    <Date1 xmlns="dc463f71-b30c-4ab2-9473-d307f9d35888">2019-11-01T07:00:00+00:00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190920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793A8794CBA549A97717825D1CE839" ma:contentTypeVersion="56" ma:contentTypeDescription="" ma:contentTypeScope="" ma:versionID="44b383fe5a13ee8ba631acf0a5baae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D8BB8-8A7C-4E90-9EBA-91243FFE87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80691-6D81-4654-AE75-179561DA6CD1}"/>
</file>

<file path=customXml/itemProps3.xml><?xml version="1.0" encoding="utf-8"?>
<ds:datastoreItem xmlns:ds="http://schemas.openxmlformats.org/officeDocument/2006/customXml" ds:itemID="{0C6A8B39-3370-46D4-9170-9D8EC1451E1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c463f71-b30c-4ab2-9473-d307f9d35888"/>
    <ds:schemaRef ds:uri="http://purl.org/dc/terms/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EF9727F-3F79-43CE-A7A4-2C94C3324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2020-2021 Washington BCP</vt:lpstr>
      <vt:lpstr>Combined</vt:lpstr>
      <vt:lpstr>WA ELEC</vt:lpstr>
      <vt:lpstr>WA NG</vt:lpstr>
      <vt:lpstr>'2020-2021 Washington BCP'!Print_Area</vt:lpstr>
      <vt:lpstr>'WA ELEC'!Print_Titles</vt:lpstr>
      <vt:lpstr>'WA NG'!Print_Titles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Finesilver, Ryan</cp:lastModifiedBy>
  <cp:lastPrinted>2019-11-01T18:13:14Z</cp:lastPrinted>
  <dcterms:created xsi:type="dcterms:W3CDTF">2015-09-23T15:32:31Z</dcterms:created>
  <dcterms:modified xsi:type="dcterms:W3CDTF">2019-11-01T18:54:20Z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0x0101006E56B4D1795A2E4DB2F0B01679ED314A00E3793A8794CBA549A97717825D1CE839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