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18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45621" calcMode="autoNoTable"/>
</workbook>
</file>

<file path=xl/calcChain.xml><?xml version="1.0" encoding="utf-8"?>
<calcChain xmlns="http://schemas.openxmlformats.org/spreadsheetml/2006/main">
  <c r="D6" i="44" l="1"/>
  <c r="C6" i="44"/>
  <c r="D9" i="44" l="1"/>
  <c r="C9" i="44"/>
  <c r="D8" i="44"/>
  <c r="C8" i="44"/>
  <c r="B15" i="44"/>
  <c r="B13" i="44"/>
  <c r="B9" i="44" l="1"/>
  <c r="B8" i="44"/>
  <c r="B7" i="38"/>
  <c r="B10" i="26" l="1"/>
  <c r="D19" i="23" s="1"/>
  <c r="B6" i="26"/>
  <c r="D21" i="23" s="1"/>
  <c r="D18" i="38" l="1"/>
  <c r="E18" i="38"/>
  <c r="F18" i="38"/>
  <c r="G18" i="38"/>
  <c r="C18" i="38"/>
  <c r="F9" i="38"/>
  <c r="G9" i="38"/>
  <c r="H9" i="38"/>
  <c r="J9" i="38"/>
  <c r="K9" i="38"/>
  <c r="B15" i="38" l="1"/>
  <c r="B16" i="38"/>
  <c r="I18" i="38"/>
  <c r="I9" i="38"/>
  <c r="E9" i="38"/>
  <c r="B8" i="38"/>
  <c r="B13" i="26"/>
  <c r="B17" i="38" l="1"/>
  <c r="H18" i="38"/>
  <c r="J18" i="38"/>
  <c r="B14" i="38"/>
  <c r="B18" i="38" s="1"/>
  <c r="B21" i="38" s="1"/>
  <c r="B6" i="38"/>
  <c r="B9" i="38" s="1"/>
  <c r="C9" i="38"/>
  <c r="D9" i="38"/>
  <c r="K18" i="38"/>
  <c r="D15" i="44" l="1"/>
  <c r="C13" i="44"/>
  <c r="C14" i="44"/>
  <c r="C12" i="44"/>
  <c r="C15" i="44"/>
  <c r="D12" i="44" l="1"/>
  <c r="D14" i="44"/>
  <c r="D13" i="44"/>
  <c r="B16" i="44"/>
  <c r="C16" i="44"/>
  <c r="D16" i="44" l="1"/>
  <c r="A29" i="19"/>
  <c r="A30" i="19" s="1"/>
  <c r="A31" i="19" s="1"/>
  <c r="A32" i="19" s="1"/>
  <c r="D23" i="23" l="1"/>
  <c r="D25" i="23" s="1"/>
  <c r="D18" i="20" l="1"/>
  <c r="D19" i="19"/>
  <c r="A8" i="20" l="1"/>
  <c r="A7" i="20"/>
  <c r="B10" i="44" l="1"/>
  <c r="D26" i="19" s="1"/>
  <c r="C10" i="44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D23" i="19" l="1"/>
  <c r="D6" i="23"/>
  <c r="D4" i="23"/>
  <c r="D25" i="19" l="1"/>
  <c r="D27" i="19" s="1"/>
  <c r="E27" i="19" s="1"/>
  <c r="D9" i="23"/>
  <c r="D11" i="23" s="1"/>
  <c r="D13" i="23" s="1"/>
  <c r="D15" i="20" l="1"/>
  <c r="D17" i="20" s="1"/>
  <c r="D16" i="19"/>
  <c r="D18" i="19" l="1"/>
  <c r="D20" i="19" s="1"/>
  <c r="E20" i="19" s="1"/>
  <c r="E29" i="19" s="1"/>
  <c r="D19" i="20" l="1"/>
  <c r="E31" i="19" l="1"/>
  <c r="E19" i="20"/>
  <c r="E22" i="20" l="1"/>
  <c r="E24" i="20" l="1"/>
  <c r="E25" i="20" s="1"/>
  <c r="E32" i="19" l="1"/>
</calcChain>
</file>

<file path=xl/sharedStrings.xml><?xml version="1.0" encoding="utf-8"?>
<sst xmlns="http://schemas.openxmlformats.org/spreadsheetml/2006/main" count="114" uniqueCount="95">
  <si>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</si>
  <si>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</si>
  <si>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</si>
  <si>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</si>
  <si>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</si>
  <si>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</si>
  <si>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</si>
  <si>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</si>
  <si>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</si>
  <si>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</si>
  <si>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</si>
  <si>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</si>
  <si>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</si>
  <si>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</si>
  <si>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</si>
  <si>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</si>
  <si>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</si>
  <si>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</si>
  <si>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</si>
  <si>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</si>
  <si>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</si>
  <si>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</si>
  <si>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</si>
  <si>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</si>
  <si>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</si>
  <si>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</si>
  <si>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</si>
  <si>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</si>
  <si>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</si>
  <si>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</si>
  <si>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</si>
  <si>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</si>
  <si>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</si>
  <si>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</si>
  <si>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</si>
  <si>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</si>
  <si>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</si>
  <si>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</si>
  <si>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</si>
  <si>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</si>
  <si>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</si>
  <si>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</si>
  <si>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</si>
  <si>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</si>
  <si>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</si>
  <si>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</si>
  <si>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</si>
  <si>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</si>
  <si>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</si>
  <si>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</si>
  <si>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COMMISSION BASIS REPORT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</si>
  <si>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</si>
  <si>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</si>
  <si>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</si>
  <si>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</si>
  <si>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</si>
  <si>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</si>
  <si>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</si>
  <si>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</si>
  <si>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</si>
  <si>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</si>
  <si>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</si>
  <si>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</si>
  <si>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</si>
  <si>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</si>
  <si>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SUMMARY PCORC:  Cumulative Expenditures through 12/31/2018</t>
  </si>
  <si>
    <t>Total GRC direct charges</t>
  </si>
  <si>
    <t>check &gt;&gt;</t>
  </si>
  <si>
    <t>SUMMARY GRC:  Cumulative Expenditures through 12/31/2018</t>
  </si>
  <si>
    <t>12ME Dec 31, 2018</t>
  </si>
  <si>
    <t xml:space="preserve">  ZO12                      Orders: Actual 12 Month Ended</t>
  </si>
  <si>
    <t xml:space="preserve">  Pages:                      0</t>
  </si>
  <si>
    <r>
      <t xml:space="preserve">Run </t>
    </r>
    <r>
      <rPr>
        <b/>
        <sz val="9"/>
        <rFont val="Arial"/>
        <family val="2"/>
      </rPr>
      <t>Order Group 928 by order</t>
    </r>
    <r>
      <rPr>
        <sz val="10"/>
        <rFont val="Arial"/>
        <family val="2"/>
      </rPr>
      <t xml:space="preserve"> to check for new rate case orders.</t>
    </r>
  </si>
  <si>
    <t>*   Common Regulatory Comm Exp</t>
  </si>
  <si>
    <t>**  Debit</t>
  </si>
  <si>
    <t xml:space="preserve">    92800006  1900 - FERC Regulatory Comm Ex</t>
  </si>
  <si>
    <t xml:space="preserve">    92800007  1900 - State Regulatory Comm E</t>
  </si>
  <si>
    <t xml:space="preserve">    92800008  1900 - FERC Transmission Rate</t>
  </si>
  <si>
    <t xml:space="preserve">    92800010  1180 - WUTC Filing Fees - Electric</t>
  </si>
  <si>
    <t xml:space="preserve">    92800015  5010 - Hydro Licensing Fees -</t>
  </si>
  <si>
    <t xml:space="preserve">    92800028  4310 - FERC Regulatory Comm Tr</t>
  </si>
  <si>
    <t xml:space="preserve">    92800040  5020 - Hydro Licensing Fees -</t>
  </si>
  <si>
    <t xml:space="preserve">    92800045  4310 - FERC Regulatory Comm Tr</t>
  </si>
  <si>
    <t>*   Electric Regulatory Comm Exp</t>
  </si>
  <si>
    <t xml:space="preserve">    92800306  1900 - FERC Regulatory Comm Ex</t>
  </si>
  <si>
    <t xml:space="preserve">    92800310  1180 - WUTC Filing Fees - Gas</t>
  </si>
  <si>
    <t>*   Gas Regulatory Commission Exp</t>
  </si>
  <si>
    <t xml:space="preserve">    92800608  1900 - State Regulatory Comm E</t>
  </si>
  <si>
    <t xml:space="preserve">    92800610  1900 - 2016 General Rate Case</t>
  </si>
  <si>
    <t xml:space="preserve">    92800611  1900-Perkins Coie-Expedited Ra</t>
  </si>
  <si>
    <t xml:space="preserve">    92800612  9804– Credit order for Corpora</t>
  </si>
  <si>
    <t xml:space="preserve">    92800824  1321 Manage Adjudicatory admin</t>
  </si>
  <si>
    <t xml:space="preserve">    92800826  1351 General Rate Case 2016</t>
  </si>
  <si>
    <t xml:space="preserve"> Run Date:                     01/31/2019</t>
  </si>
  <si>
    <t>FOR THE TWELVE MONTHS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</si>
</sst>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</numFmts>
  <fonts count="74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81" fontId="38" fillId="0" borderId="0">
      <alignment horizontal="left"/>
    </xf>
    <xf numFmtId="182" fontId="39" fillId="0" borderId="0">
      <alignment horizontal="left"/>
    </xf>
    <xf numFmtId="0" fontId="49" fillId="3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9" fillId="4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4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12" fillId="0" borderId="0" applyFill="0" applyBorder="0" applyAlignment="0"/>
    <xf numFmtId="0" fontId="52" fillId="61" borderId="26" applyNumberFormat="0" applyAlignment="0" applyProtection="0"/>
    <xf numFmtId="0" fontId="53" fillId="62" borderId="27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178" fontId="29" fillId="0" borderId="0">
      <protection locked="0"/>
    </xf>
    <xf numFmtId="0" fontId="28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4" fillId="0" borderId="0"/>
    <xf numFmtId="0" fontId="28" fillId="0" borderId="0"/>
    <xf numFmtId="0" fontId="14" fillId="0" borderId="0"/>
    <xf numFmtId="0" fontId="2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8" fillId="0" borderId="0"/>
    <xf numFmtId="0" fontId="5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55" fillId="63" borderId="0" applyNumberFormat="0" applyBorder="0" applyAlignment="0" applyProtection="0"/>
    <xf numFmtId="38" fontId="6" fillId="16" borderId="0" applyNumberFormat="0" applyBorder="0" applyAlignment="0" applyProtection="0"/>
    <xf numFmtId="167" fontId="37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0" applyNumberFormat="0" applyFill="0" applyBorder="0" applyAlignment="0" applyProtection="0"/>
    <xf numFmtId="38" fontId="17" fillId="0" borderId="0"/>
    <xf numFmtId="40" fontId="17" fillId="0" borderId="0"/>
    <xf numFmtId="0" fontId="59" fillId="64" borderId="26" applyNumberFormat="0" applyAlignment="0" applyProtection="0"/>
    <xf numFmtId="10" fontId="6" fillId="18" borderId="4" applyNumberFormat="0" applyBorder="0" applyAlignment="0" applyProtection="0"/>
    <xf numFmtId="41" fontId="18" fillId="19" borderId="5">
      <alignment horizontal="left"/>
      <protection locked="0"/>
    </xf>
    <xf numFmtId="10" fontId="18" fillId="19" borderId="5">
      <alignment horizontal="right"/>
      <protection locked="0"/>
    </xf>
    <xf numFmtId="41" fontId="18" fillId="19" borderId="5">
      <alignment horizontal="left"/>
      <protection locked="0"/>
    </xf>
    <xf numFmtId="0" fontId="6" fillId="16" borderId="0"/>
    <xf numFmtId="3" fontId="30" fillId="0" borderId="0" applyFill="0" applyBorder="0" applyAlignment="0" applyProtection="0"/>
    <xf numFmtId="0" fontId="60" fillId="0" borderId="31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1" fillId="65" borderId="0" applyNumberFormat="0" applyBorder="0" applyAlignment="0" applyProtection="0"/>
    <xf numFmtId="37" fontId="19" fillId="0" borderId="0"/>
    <xf numFmtId="174" fontId="20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177" fontId="8" fillId="0" borderId="0">
      <alignment horizontal="left" wrapText="1"/>
    </xf>
    <xf numFmtId="0" fontId="26" fillId="0" borderId="0"/>
    <xf numFmtId="0" fontId="26" fillId="0" borderId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49" fillId="66" borderId="32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62" fillId="61" borderId="33" applyNumberFormat="0" applyAlignment="0" applyProtection="0"/>
    <xf numFmtId="0" fontId="14" fillId="0" borderId="0"/>
    <xf numFmtId="0" fontId="14" fillId="0" borderId="0"/>
    <xf numFmtId="0" fontId="28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1" fontId="8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1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28" fillId="0" borderId="0"/>
    <xf numFmtId="3" fontId="31" fillId="0" borderId="0" applyFill="0" applyBorder="0" applyAlignment="0" applyProtection="0"/>
    <xf numFmtId="0" fontId="32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7" fillId="0" borderId="0" applyBorder="0" applyAlignment="0"/>
    <xf numFmtId="42" fontId="8" fillId="18" borderId="11">
      <alignment horizontal="left"/>
    </xf>
    <xf numFmtId="179" fontId="33" fillId="18" borderId="11">
      <alignment horizontal="left"/>
    </xf>
    <xf numFmtId="14" fontId="22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1" fillId="20" borderId="12" applyNumberFormat="0" applyProtection="0">
      <alignment vertical="center"/>
    </xf>
    <xf numFmtId="4" fontId="42" fillId="19" borderId="12" applyNumberFormat="0" applyProtection="0">
      <alignment vertical="center"/>
    </xf>
    <xf numFmtId="4" fontId="41" fillId="19" borderId="12" applyNumberFormat="0" applyProtection="0">
      <alignment horizontal="left" vertical="center" indent="1"/>
    </xf>
    <xf numFmtId="0" fontId="41" fillId="19" borderId="12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0" fillId="3" borderId="12" applyNumberFormat="0" applyProtection="0">
      <alignment horizontal="right" vertical="center"/>
    </xf>
    <xf numFmtId="4" fontId="40" fillId="9" borderId="12" applyNumberFormat="0" applyProtection="0">
      <alignment horizontal="right" vertical="center"/>
    </xf>
    <xf numFmtId="4" fontId="40" fillId="13" borderId="12" applyNumberFormat="0" applyProtection="0">
      <alignment horizontal="right" vertical="center"/>
    </xf>
    <xf numFmtId="4" fontId="40" fillId="11" borderId="12" applyNumberFormat="0" applyProtection="0">
      <alignment horizontal="right" vertical="center"/>
    </xf>
    <xf numFmtId="4" fontId="40" fillId="12" borderId="12" applyNumberFormat="0" applyProtection="0">
      <alignment horizontal="right" vertical="center"/>
    </xf>
    <xf numFmtId="4" fontId="40" fillId="15" borderId="12" applyNumberFormat="0" applyProtection="0">
      <alignment horizontal="right" vertical="center"/>
    </xf>
    <xf numFmtId="4" fontId="40" fillId="14" borderId="12" applyNumberFormat="0" applyProtection="0">
      <alignment horizontal="right" vertical="center"/>
    </xf>
    <xf numFmtId="4" fontId="40" fillId="26" borderId="12" applyNumberFormat="0" applyProtection="0">
      <alignment horizontal="right" vertical="center"/>
    </xf>
    <xf numFmtId="4" fontId="40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43" fillId="29" borderId="0" applyNumberFormat="0" applyProtection="0">
      <alignment horizontal="left" vertical="center" indent="1"/>
    </xf>
    <xf numFmtId="4" fontId="40" fillId="30" borderId="12" applyNumberFormat="0" applyProtection="0">
      <alignment horizontal="right" vertical="center"/>
    </xf>
    <xf numFmtId="4" fontId="40" fillId="28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0" fillId="32" borderId="12" applyNumberFormat="0" applyProtection="0">
      <alignment vertical="center"/>
    </xf>
    <xf numFmtId="4" fontId="44" fillId="32" borderId="12" applyNumberFormat="0" applyProtection="0">
      <alignment vertical="center"/>
    </xf>
    <xf numFmtId="4" fontId="40" fillId="32" borderId="12" applyNumberFormat="0" applyProtection="0">
      <alignment horizontal="left" vertical="center" indent="1"/>
    </xf>
    <xf numFmtId="0" fontId="40" fillId="32" borderId="12" applyNumberFormat="0" applyProtection="0">
      <alignment horizontal="left" vertical="top" indent="1"/>
    </xf>
    <xf numFmtId="4" fontId="40" fillId="28" borderId="12" applyNumberFormat="0" applyProtection="0">
      <alignment horizontal="right" vertical="center"/>
    </xf>
    <xf numFmtId="4" fontId="44" fillId="28" borderId="12" applyNumberFormat="0" applyProtection="0">
      <alignment horizontal="right" vertical="center"/>
    </xf>
    <xf numFmtId="4" fontId="40" fillId="30" borderId="12" applyNumberFormat="0" applyProtection="0">
      <alignment horizontal="left" vertical="center" indent="1"/>
    </xf>
    <xf numFmtId="0" fontId="40" fillId="24" borderId="12" applyNumberFormat="0" applyProtection="0">
      <alignment horizontal="left" vertical="top" indent="1"/>
    </xf>
    <xf numFmtId="4" fontId="45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7" fillId="0" borderId="11"/>
    <xf numFmtId="39" fontId="22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3" fillId="0" borderId="0" applyBorder="0">
      <alignment horizontal="right"/>
    </xf>
    <xf numFmtId="41" fontId="34" fillId="18" borderId="0">
      <alignment horizontal="left"/>
    </xf>
    <xf numFmtId="0" fontId="46" fillId="0" borderId="0"/>
    <xf numFmtId="0" fontId="47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64" fontId="35" fillId="18" borderId="0">
      <alignment horizontal="left" vertical="center"/>
    </xf>
    <xf numFmtId="0" fontId="5" fillId="18" borderId="0">
      <alignment horizontal="left" wrapText="1"/>
    </xf>
    <xf numFmtId="0" fontId="24" fillId="0" borderId="0">
      <alignment horizontal="left" vertical="center"/>
    </xf>
    <xf numFmtId="0" fontId="64" fillId="0" borderId="34" applyNumberFormat="0" applyFill="0" applyAlignment="0" applyProtection="0"/>
    <xf numFmtId="0" fontId="28" fillId="0" borderId="15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9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66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66" fillId="75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8" borderId="0" applyNumberFormat="0" applyBorder="0" applyAlignment="0" applyProtection="0"/>
    <xf numFmtId="0" fontId="26" fillId="76" borderId="0" applyNumberFormat="0" applyBorder="0" applyAlignment="0" applyProtection="0"/>
    <xf numFmtId="0" fontId="26" fillId="71" borderId="0" applyNumberFormat="0" applyBorder="0" applyAlignment="0" applyProtection="0"/>
    <xf numFmtId="0" fontId="66" fillId="77" borderId="0" applyNumberFormat="0" applyBorder="0" applyAlignment="0" applyProtection="0"/>
    <xf numFmtId="44" fontId="8" fillId="0" borderId="0" applyFont="0" applyFill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8" fillId="81" borderId="4" applyNumberFormat="0">
      <protection locked="0"/>
    </xf>
    <xf numFmtId="0" fontId="68" fillId="0" borderId="0" applyNumberFormat="0" applyFill="0" applyBorder="0" applyAlignment="0" applyProtection="0"/>
    <xf numFmtId="0" fontId="1" fillId="0" borderId="0"/>
  </cellStyleXfs>
  <cellXfs count="143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165" fontId="3" fillId="0" borderId="9" xfId="108" applyNumberFormat="1" applyFont="1" applyFill="1" applyBorder="1" applyProtection="1">
      <protection locked="0"/>
    </xf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6" fillId="0" borderId="0" xfId="90" applyFill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49" fontId="37" fillId="0" borderId="4" xfId="0" applyNumberFormat="1" applyFont="1" applyFill="1" applyBorder="1" applyAlignment="1">
      <alignment horizontal="left"/>
    </xf>
    <xf numFmtId="49" fontId="37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180" fontId="5" fillId="0" borderId="24" xfId="0" applyNumberFormat="1" applyFont="1" applyFill="1" applyBorder="1" applyAlignment="1">
      <alignment horizontal="center"/>
    </xf>
    <xf numFmtId="180" fontId="5" fillId="0" borderId="4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Protection="1">
      <protection locked="0"/>
    </xf>
    <xf numFmtId="166" fontId="5" fillId="0" borderId="0" xfId="90" applyNumberFormat="1" applyFont="1" applyFill="1" applyBorder="1"/>
    <xf numFmtId="168" fontId="8" fillId="0" borderId="0" xfId="0" applyNumberFormat="1" applyFont="1" applyFill="1" applyAlignment="1">
      <alignment horizontal="left" indent="2"/>
    </xf>
    <xf numFmtId="3" fontId="5" fillId="0" borderId="4" xfId="0" applyNumberFormat="1" applyFont="1" applyFill="1" applyBorder="1"/>
    <xf numFmtId="0" fontId="5" fillId="0" borderId="25" xfId="0" applyFont="1" applyFill="1" applyBorder="1"/>
    <xf numFmtId="0" fontId="69" fillId="0" borderId="0" xfId="0" applyFont="1" applyFill="1" applyBorder="1"/>
    <xf numFmtId="166" fontId="69" fillId="0" borderId="0" xfId="83" applyNumberFormat="1" applyFont="1" applyFill="1" applyBorder="1"/>
    <xf numFmtId="0" fontId="70" fillId="0" borderId="0" xfId="0" applyNumberFormat="1" applyFont="1" applyFill="1" applyAlignment="1">
      <alignment horizontal="left"/>
    </xf>
    <xf numFmtId="0" fontId="0" fillId="0" borderId="10" xfId="0" applyFill="1" applyBorder="1"/>
    <xf numFmtId="168" fontId="8" fillId="0" borderId="0" xfId="0" applyNumberFormat="1" applyFont="1" applyFill="1"/>
    <xf numFmtId="0" fontId="5" fillId="0" borderId="4" xfId="0" applyFont="1" applyFill="1" applyBorder="1"/>
    <xf numFmtId="0" fontId="5" fillId="0" borderId="24" xfId="0" applyFont="1" applyFill="1" applyBorder="1"/>
    <xf numFmtId="49" fontId="37" fillId="0" borderId="2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/>
    </xf>
    <xf numFmtId="43" fontId="36" fillId="0" borderId="0" xfId="90" applyFill="1" applyBorder="1"/>
    <xf numFmtId="166" fontId="0" fillId="0" borderId="0" xfId="0" applyNumberFormat="1" applyFill="1"/>
    <xf numFmtId="0" fontId="1" fillId="0" borderId="20" xfId="0" applyFont="1" applyBorder="1"/>
    <xf numFmtId="0" fontId="1" fillId="0" borderId="11" xfId="0" applyFont="1" applyBorder="1"/>
    <xf numFmtId="0" fontId="1" fillId="0" borderId="0" xfId="0" applyFont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83" applyNumberFormat="1" applyFont="1" applyFill="1" applyBorder="1"/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Fill="1" applyBorder="1"/>
    <xf numFmtId="43" fontId="1" fillId="0" borderId="10" xfId="83" applyFont="1" applyFill="1" applyBorder="1"/>
    <xf numFmtId="43" fontId="1" fillId="0" borderId="0" xfId="83" applyFont="1" applyFill="1" applyBorder="1"/>
    <xf numFmtId="0" fontId="1" fillId="0" borderId="0" xfId="0" applyFont="1" applyFill="1"/>
    <xf numFmtId="43" fontId="1" fillId="0" borderId="0" xfId="83" applyFont="1" applyFill="1"/>
    <xf numFmtId="0" fontId="6" fillId="0" borderId="0" xfId="0" applyFont="1" applyFill="1"/>
    <xf numFmtId="10" fontId="37" fillId="0" borderId="2" xfId="201" applyNumberFormat="1" applyFont="1" applyFill="1" applyBorder="1" applyAlignment="1">
      <alignment horizontal="center" wrapText="1"/>
    </xf>
    <xf numFmtId="0" fontId="1" fillId="0" borderId="24" xfId="0" applyFont="1" applyFill="1" applyBorder="1"/>
    <xf numFmtId="3" fontId="1" fillId="0" borderId="4" xfId="0" applyNumberFormat="1" applyFont="1" applyFill="1" applyBorder="1"/>
    <xf numFmtId="0" fontId="1" fillId="0" borderId="25" xfId="0" applyFont="1" applyFill="1" applyBorder="1"/>
    <xf numFmtId="3" fontId="1" fillId="0" borderId="0" xfId="0" applyNumberFormat="1" applyFont="1" applyFill="1" applyBorder="1"/>
    <xf numFmtId="3" fontId="1" fillId="0" borderId="4" xfId="0" quotePrefix="1" applyNumberFormat="1" applyFont="1" applyFill="1" applyBorder="1" applyAlignment="1">
      <alignment horizontal="right"/>
    </xf>
    <xf numFmtId="0" fontId="1" fillId="0" borderId="2" xfId="0" applyFont="1" applyFill="1" applyBorder="1"/>
    <xf numFmtId="43" fontId="1" fillId="0" borderId="0" xfId="0" applyNumberFormat="1" applyFont="1" applyFill="1"/>
    <xf numFmtId="43" fontId="5" fillId="0" borderId="10" xfId="90" applyFont="1" applyFill="1" applyBorder="1" applyAlignment="1">
      <alignment horizontal="center"/>
    </xf>
    <xf numFmtId="168" fontId="5" fillId="0" borderId="0" xfId="0" applyNumberFormat="1" applyFont="1" applyFill="1"/>
    <xf numFmtId="166" fontId="36" fillId="0" borderId="0" xfId="90" applyNumberFormat="1" applyFill="1"/>
    <xf numFmtId="166" fontId="36" fillId="0" borderId="10" xfId="90" applyNumberFormat="1" applyFill="1" applyBorder="1"/>
    <xf numFmtId="168" fontId="1" fillId="0" borderId="0" xfId="0" applyNumberFormat="1" applyFont="1" applyFill="1" applyAlignment="1">
      <alignment horizontal="left" indent="2"/>
    </xf>
    <xf numFmtId="168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/>
    <xf numFmtId="166" fontId="1" fillId="0" borderId="11" xfId="0" applyNumberFormat="1" applyFont="1" applyFill="1" applyBorder="1"/>
    <xf numFmtId="166" fontId="5" fillId="0" borderId="0" xfId="0" applyNumberFormat="1" applyFont="1" applyFill="1" applyBorder="1"/>
    <xf numFmtId="166" fontId="1" fillId="0" borderId="0" xfId="0" applyNumberFormat="1" applyFont="1" applyFill="1"/>
    <xf numFmtId="41" fontId="0" fillId="0" borderId="0" xfId="0" applyNumberFormat="1" applyFill="1"/>
    <xf numFmtId="166" fontId="5" fillId="0" borderId="9" xfId="0" applyNumberFormat="1" applyFont="1" applyFill="1" applyBorder="1"/>
    <xf numFmtId="166" fontId="0" fillId="0" borderId="0" xfId="83" applyNumberFormat="1" applyFont="1" applyFill="1"/>
    <xf numFmtId="166" fontId="5" fillId="0" borderId="35" xfId="90" applyNumberFormat="1" applyFont="1" applyFill="1" applyBorder="1"/>
    <xf numFmtId="166" fontId="0" fillId="0" borderId="10" xfId="83" applyNumberFormat="1" applyFont="1" applyFill="1" applyBorder="1"/>
    <xf numFmtId="4" fontId="0" fillId="0" borderId="10" xfId="0" applyNumberFormat="1" applyFill="1" applyBorder="1"/>
    <xf numFmtId="166" fontId="0" fillId="0" borderId="0" xfId="0" applyNumberFormat="1" applyFill="1" applyBorder="1"/>
    <xf numFmtId="168" fontId="72" fillId="0" borderId="0" xfId="0" applyNumberFormat="1" applyFont="1" applyFill="1" applyAlignment="1">
      <alignment horizontal="right" indent="2"/>
    </xf>
    <xf numFmtId="43" fontId="72" fillId="0" borderId="0" xfId="83" applyFont="1" applyFill="1"/>
    <xf numFmtId="43" fontId="71" fillId="0" borderId="0" xfId="90" applyFont="1" applyFill="1"/>
    <xf numFmtId="43" fontId="1" fillId="0" borderId="4" xfId="83" applyFont="1" applyFill="1" applyBorder="1"/>
    <xf numFmtId="43" fontId="1" fillId="0" borderId="4" xfId="83" quotePrefix="1" applyFont="1" applyFill="1" applyBorder="1" applyAlignment="1">
      <alignment horizontal="right"/>
    </xf>
    <xf numFmtId="43" fontId="5" fillId="0" borderId="4" xfId="83" applyFont="1" applyFill="1" applyBorder="1"/>
    <xf numFmtId="166" fontId="5" fillId="0" borderId="9" xfId="83" applyNumberFormat="1" applyFont="1" applyFill="1" applyBorder="1"/>
    <xf numFmtId="166" fontId="1" fillId="0" borderId="0" xfId="90" applyNumberFormat="1" applyFont="1" applyFill="1"/>
    <xf numFmtId="166" fontId="1" fillId="0" borderId="10" xfId="90" applyNumberFormat="1" applyFont="1" applyFill="1" applyBorder="1"/>
    <xf numFmtId="166" fontId="1" fillId="0" borderId="0" xfId="90" applyNumberFormat="1" applyFont="1" applyFill="1" applyBorder="1"/>
    <xf numFmtId="10" fontId="37" fillId="0" borderId="4" xfId="201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left"/>
    </xf>
    <xf numFmtId="180" fontId="1" fillId="0" borderId="22" xfId="0" applyNumberFormat="1" applyFont="1" applyFill="1" applyBorder="1"/>
    <xf numFmtId="49" fontId="1" fillId="0" borderId="4" xfId="0" applyNumberFormat="1" applyFont="1" applyFill="1" applyBorder="1" applyAlignment="1">
      <alignment horizontal="left"/>
    </xf>
    <xf numFmtId="180" fontId="1" fillId="0" borderId="4" xfId="0" applyNumberFormat="1" applyFont="1" applyFill="1" applyBorder="1"/>
    <xf numFmtId="43" fontId="1" fillId="0" borderId="22" xfId="83" applyFont="1" applyFill="1" applyBorder="1"/>
    <xf numFmtId="49" fontId="1" fillId="0" borderId="23" xfId="0" applyNumberFormat="1" applyFont="1" applyFill="1" applyBorder="1" applyAlignment="1">
      <alignment horizontal="left"/>
    </xf>
    <xf numFmtId="180" fontId="1" fillId="0" borderId="23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15" xfId="305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CCB3FF"/>
      <color rgb="FFFFC5B3"/>
      <color rgb="FFFFCCFF"/>
      <color rgb="FFB4CDE6"/>
      <color rgb="FF97FFFF"/>
      <color rgb="FFCCFF33"/>
      <color rgb="FFFFFF99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H29" sqref="H29"/>
    </sheetView>
  </sheetViews>
  <sheetFormatPr defaultRowHeight="12.75"/>
  <cols>
    <col min="1" max="1" width="5.7109375" style="33" customWidth="1"/>
    <col min="2" max="2" width="80.5703125" style="33" customWidth="1"/>
    <col min="3" max="3" width="4.5703125" style="33" customWidth="1"/>
    <col min="4" max="4" width="13.140625" style="33" customWidth="1"/>
    <col min="5" max="5" width="13.28515625" style="33" customWidth="1"/>
    <col min="6" max="6" width="1.7109375" customWidth="1"/>
    <col min="7" max="7" width="10.42578125" customWidth="1"/>
    <col min="8" max="8" width="16.7109375" customWidth="1"/>
    <col min="9" max="9" width="1.710937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>
      <c r="A1" s="42"/>
      <c r="E1" s="9"/>
    </row>
    <row r="2" spans="1:5">
      <c r="E2" s="9"/>
    </row>
    <row r="3" spans="1:5">
      <c r="A3" s="5"/>
      <c r="B3" s="11"/>
      <c r="E3"/>
    </row>
    <row r="4" spans="1:5">
      <c r="A4" s="12"/>
      <c r="B4" s="1"/>
      <c r="C4" s="1"/>
      <c r="D4" s="1"/>
    </row>
    <row r="5" spans="1:5">
      <c r="A5" s="43" t="s">
        <v>8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">
        <v>94</v>
      </c>
      <c r="B7" s="44"/>
      <c r="C7" s="44"/>
      <c r="D7" s="44"/>
      <c r="E7" s="45"/>
    </row>
    <row r="8" spans="1:5">
      <c r="A8" s="47" t="s">
        <v>50</v>
      </c>
      <c r="B8" s="44"/>
      <c r="C8" s="44"/>
      <c r="D8" s="44"/>
      <c r="E8" s="45"/>
    </row>
    <row r="9" spans="1:5">
      <c r="A9" s="1"/>
      <c r="B9" s="1"/>
      <c r="C9" s="1"/>
      <c r="D9" s="1"/>
    </row>
    <row r="10" spans="1:5">
      <c r="A10" s="8" t="s">
        <v>1</v>
      </c>
      <c r="B10" s="1"/>
      <c r="C10" s="1"/>
      <c r="D10" s="140"/>
      <c r="E10" s="140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2" t="s">
        <v>11</v>
      </c>
      <c r="C13" s="20"/>
      <c r="D13" s="17"/>
    </row>
    <row r="14" spans="1:5">
      <c r="A14" s="6">
        <f t="shared" ref="A14:A32" si="0">+A13+1</f>
        <v>2</v>
      </c>
      <c r="B14" s="23"/>
      <c r="C14" s="20"/>
      <c r="D14" s="17"/>
    </row>
    <row r="15" spans="1:5">
      <c r="A15" s="6">
        <f t="shared" si="0"/>
        <v>3</v>
      </c>
      <c r="B15" s="68" t="s">
        <v>45</v>
      </c>
      <c r="C15" s="20"/>
    </row>
    <row r="16" spans="1:5">
      <c r="A16" s="6">
        <f t="shared" si="0"/>
        <v>4</v>
      </c>
      <c r="B16" s="23" t="s">
        <v>63</v>
      </c>
      <c r="C16" s="20"/>
      <c r="D16" s="16">
        <f>+'Ave cost of case'!D13</f>
        <v>1097000</v>
      </c>
    </row>
    <row r="17" spans="1:5">
      <c r="A17" s="6">
        <f t="shared" si="0"/>
        <v>5</v>
      </c>
      <c r="B17" s="23"/>
      <c r="C17" s="20"/>
      <c r="D17" s="17"/>
    </row>
    <row r="18" spans="1:5">
      <c r="A18" s="6">
        <f t="shared" si="0"/>
        <v>6</v>
      </c>
      <c r="B18" s="27" t="s">
        <v>49</v>
      </c>
      <c r="C18" s="24"/>
      <c r="D18" s="28">
        <f>+D16/2</f>
        <v>548500</v>
      </c>
    </row>
    <row r="19" spans="1:5">
      <c r="A19" s="6">
        <f t="shared" si="0"/>
        <v>7</v>
      </c>
      <c r="B19" s="14" t="s">
        <v>17</v>
      </c>
      <c r="C19" s="15"/>
      <c r="D19" s="61">
        <f>TY!C16</f>
        <v>-11803.907603</v>
      </c>
    </row>
    <row r="20" spans="1:5">
      <c r="A20" s="6">
        <f t="shared" si="0"/>
        <v>8</v>
      </c>
      <c r="B20" s="23" t="s">
        <v>5</v>
      </c>
      <c r="C20" s="25"/>
      <c r="D20" s="18">
        <f>+D18-D19</f>
        <v>560303.90760300006</v>
      </c>
      <c r="E20" s="21">
        <f>+D20</f>
        <v>560303.90760300006</v>
      </c>
    </row>
    <row r="21" spans="1:5">
      <c r="A21" s="6">
        <f t="shared" si="0"/>
        <v>9</v>
      </c>
      <c r="B21" s="23"/>
      <c r="C21" s="15"/>
      <c r="D21" s="29"/>
    </row>
    <row r="22" spans="1:5">
      <c r="A22" s="6">
        <f t="shared" si="0"/>
        <v>10</v>
      </c>
      <c r="B22" s="68" t="s">
        <v>46</v>
      </c>
      <c r="C22" s="20"/>
    </row>
    <row r="23" spans="1:5">
      <c r="A23" s="6">
        <f t="shared" si="0"/>
        <v>11</v>
      </c>
      <c r="B23" s="23" t="s">
        <v>47</v>
      </c>
      <c r="C23" s="20"/>
      <c r="D23" s="16">
        <f>+'Ave cost of case'!D25</f>
        <v>273000</v>
      </c>
    </row>
    <row r="24" spans="1:5">
      <c r="A24" s="6">
        <f t="shared" si="0"/>
        <v>12</v>
      </c>
      <c r="B24" s="23"/>
      <c r="C24" s="20"/>
      <c r="D24" s="16"/>
    </row>
    <row r="25" spans="1:5">
      <c r="A25" s="6">
        <f t="shared" si="0"/>
        <v>13</v>
      </c>
      <c r="B25" s="27" t="s">
        <v>48</v>
      </c>
      <c r="C25" s="24"/>
      <c r="D25" s="28">
        <f>+D23/4</f>
        <v>68250</v>
      </c>
    </row>
    <row r="26" spans="1:5">
      <c r="A26" s="6">
        <f t="shared" si="0"/>
        <v>14</v>
      </c>
      <c r="B26" s="14" t="s">
        <v>18</v>
      </c>
      <c r="C26" s="15"/>
      <c r="D26" s="61">
        <f>TY!B10</f>
        <v>0</v>
      </c>
    </row>
    <row r="27" spans="1:5">
      <c r="A27" s="6">
        <f t="shared" si="0"/>
        <v>15</v>
      </c>
      <c r="B27" s="23" t="s">
        <v>5</v>
      </c>
      <c r="C27" s="25"/>
      <c r="D27" s="18">
        <f>+D25-D26</f>
        <v>68250</v>
      </c>
      <c r="E27" s="21">
        <f>+D27</f>
        <v>68250</v>
      </c>
    </row>
    <row r="28" spans="1:5">
      <c r="A28" s="6">
        <f t="shared" si="0"/>
        <v>16</v>
      </c>
      <c r="B28" s="23"/>
      <c r="C28" s="25"/>
      <c r="D28" s="21"/>
      <c r="E28" s="48"/>
    </row>
    <row r="29" spans="1:5">
      <c r="A29" s="6">
        <f t="shared" si="0"/>
        <v>17</v>
      </c>
      <c r="B29" s="23" t="s">
        <v>12</v>
      </c>
      <c r="C29" s="15"/>
      <c r="E29" s="16">
        <f>+E20+E27</f>
        <v>628553.90760300006</v>
      </c>
    </row>
    <row r="30" spans="1:5">
      <c r="A30" s="6">
        <f t="shared" si="0"/>
        <v>18</v>
      </c>
      <c r="B30" s="19"/>
      <c r="C30" s="15"/>
      <c r="E30" s="31"/>
    </row>
    <row r="31" spans="1:5">
      <c r="A31" s="6">
        <f t="shared" si="0"/>
        <v>19</v>
      </c>
      <c r="B31" s="19" t="s">
        <v>6</v>
      </c>
      <c r="C31" s="26">
        <v>0.21</v>
      </c>
      <c r="E31" s="32">
        <f>-E29*C31</f>
        <v>-131996.32059663002</v>
      </c>
    </row>
    <row r="32" spans="1:5" ht="13.5" thickBot="1">
      <c r="A32" s="6">
        <f t="shared" si="0"/>
        <v>20</v>
      </c>
      <c r="B32" s="19" t="s">
        <v>7</v>
      </c>
      <c r="C32" s="15"/>
      <c r="E32" s="49">
        <f>-E29-E31</f>
        <v>-496557.58700637007</v>
      </c>
    </row>
    <row r="33" spans="4:4" ht="13.5" thickTop="1"/>
    <row r="40" spans="4:4">
      <c r="D40" s="50"/>
    </row>
  </sheetData>
  <mergeCells count="1">
    <mergeCell ref="D10:E10"/>
  </mergeCells>
  <phoneticPr fontId="9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4"/>
  <sheetViews>
    <sheetView zoomScale="90" zoomScaleNormal="90" workbookViewId="0">
      <selection activeCell="H29" sqref="H29"/>
    </sheetView>
  </sheetViews>
  <sheetFormatPr defaultRowHeight="12.75"/>
  <cols>
    <col min="1" max="1" width="5.7109375" customWidth="1"/>
    <col min="2" max="2" width="67.42578125" bestFit="1" customWidth="1"/>
    <col min="3" max="3" width="5.140625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5">
      <c r="A1" s="10"/>
      <c r="E1" s="9"/>
    </row>
    <row r="2" spans="1:5">
      <c r="E2" s="9"/>
    </row>
    <row r="3" spans="1:5">
      <c r="A3" s="5"/>
      <c r="B3" s="11"/>
    </row>
    <row r="4" spans="1:5">
      <c r="A4" s="12"/>
      <c r="B4" s="1"/>
      <c r="C4" s="1"/>
      <c r="D4" s="1"/>
      <c r="E4" s="33"/>
    </row>
    <row r="5" spans="1:5">
      <c r="A5" s="43" t="s">
        <v>21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tr">
        <f>'Lead E'!A7</f>
        <v>FOR THE TWELVE MONTHS ENDED DECEMBER 31, 2018</v>
      </c>
      <c r="B7" s="44"/>
      <c r="C7" s="44"/>
      <c r="D7" s="44"/>
      <c r="E7" s="45"/>
    </row>
    <row r="8" spans="1:5">
      <c r="A8" s="47" t="str">
        <f>'Lead E'!A8</f>
        <v>COMMISSION BASIS REPORT</v>
      </c>
      <c r="B8" s="44"/>
      <c r="C8" s="44"/>
      <c r="D8" s="44"/>
      <c r="E8" s="45"/>
    </row>
    <row r="9" spans="1:5">
      <c r="A9" s="1"/>
      <c r="B9" s="1"/>
      <c r="C9" s="1"/>
      <c r="D9" s="1"/>
      <c r="E9" s="33"/>
    </row>
    <row r="10" spans="1:5">
      <c r="A10" s="8" t="s">
        <v>1</v>
      </c>
      <c r="B10" s="1"/>
      <c r="C10" s="1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  <c r="E12" s="33"/>
    </row>
    <row r="13" spans="1:5">
      <c r="A13" s="6">
        <v>1</v>
      </c>
      <c r="B13" s="22" t="s">
        <v>11</v>
      </c>
      <c r="C13" s="20"/>
      <c r="D13" s="17"/>
      <c r="E13" s="33"/>
    </row>
    <row r="14" spans="1:5">
      <c r="A14" s="6">
        <f t="shared" ref="A14:A25" si="0">+A13+1</f>
        <v>2</v>
      </c>
      <c r="B14" s="23"/>
      <c r="C14" s="20"/>
      <c r="D14" s="17"/>
      <c r="E14" s="33"/>
    </row>
    <row r="15" spans="1:5">
      <c r="A15" s="6">
        <f t="shared" si="0"/>
        <v>3</v>
      </c>
      <c r="B15" s="23" t="s">
        <v>64</v>
      </c>
      <c r="C15" s="20"/>
      <c r="D15" s="16">
        <f>+'Ave cost of case'!D13</f>
        <v>1097000</v>
      </c>
      <c r="E15" s="33"/>
    </row>
    <row r="16" spans="1:5">
      <c r="A16" s="6">
        <f t="shared" si="0"/>
        <v>4</v>
      </c>
      <c r="B16" s="23"/>
      <c r="C16" s="20"/>
      <c r="D16" s="17"/>
      <c r="E16" s="33"/>
    </row>
    <row r="17" spans="1:5">
      <c r="A17" s="6">
        <f t="shared" si="0"/>
        <v>5</v>
      </c>
      <c r="B17" s="27" t="s">
        <v>20</v>
      </c>
      <c r="C17" s="24"/>
      <c r="D17" s="28">
        <f>+D15/2</f>
        <v>548500</v>
      </c>
      <c r="E17" s="33"/>
    </row>
    <row r="18" spans="1:5">
      <c r="A18" s="6">
        <f t="shared" si="0"/>
        <v>6</v>
      </c>
      <c r="B18" s="14" t="s">
        <v>17</v>
      </c>
      <c r="C18" s="15"/>
      <c r="D18" s="61">
        <f>TY!D16</f>
        <v>-6029.4623969999993</v>
      </c>
      <c r="E18" s="33"/>
    </row>
    <row r="19" spans="1:5">
      <c r="A19" s="6">
        <f t="shared" si="0"/>
        <v>7</v>
      </c>
      <c r="B19" s="23" t="s">
        <v>5</v>
      </c>
      <c r="C19" s="25"/>
      <c r="D19" s="18">
        <f>+D17-D18</f>
        <v>554529.46239700005</v>
      </c>
      <c r="E19" s="21">
        <f>+D19</f>
        <v>554529.46239700005</v>
      </c>
    </row>
    <row r="20" spans="1:5">
      <c r="A20" s="6">
        <f t="shared" si="0"/>
        <v>8</v>
      </c>
      <c r="B20" s="23"/>
      <c r="C20" s="25"/>
      <c r="D20" s="30"/>
      <c r="E20" s="48"/>
    </row>
    <row r="21" spans="1:5">
      <c r="A21" s="6">
        <f t="shared" si="0"/>
        <v>9</v>
      </c>
      <c r="B21" s="23"/>
      <c r="C21" s="15"/>
      <c r="D21" s="29"/>
      <c r="E21" s="33"/>
    </row>
    <row r="22" spans="1:5">
      <c r="A22" s="6">
        <f t="shared" si="0"/>
        <v>10</v>
      </c>
      <c r="B22" s="23" t="s">
        <v>12</v>
      </c>
      <c r="C22" s="15"/>
      <c r="D22" s="33"/>
      <c r="E22" s="16">
        <f>+E19</f>
        <v>554529.46239700005</v>
      </c>
    </row>
    <row r="23" spans="1:5">
      <c r="A23" s="6">
        <f t="shared" si="0"/>
        <v>11</v>
      </c>
      <c r="B23" s="19"/>
      <c r="C23" s="15"/>
      <c r="D23" s="33"/>
      <c r="E23" s="31"/>
    </row>
    <row r="24" spans="1:5">
      <c r="A24" s="6">
        <f t="shared" si="0"/>
        <v>12</v>
      </c>
      <c r="B24" s="19" t="s">
        <v>6</v>
      </c>
      <c r="C24" s="26">
        <v>0.21</v>
      </c>
      <c r="D24" s="33"/>
      <c r="E24" s="32">
        <f>-E22*C24</f>
        <v>-116451.18710337</v>
      </c>
    </row>
    <row r="25" spans="1:5" ht="13.5" thickBot="1">
      <c r="A25" s="6">
        <f t="shared" si="0"/>
        <v>13</v>
      </c>
      <c r="B25" s="19" t="s">
        <v>7</v>
      </c>
      <c r="C25" s="15"/>
      <c r="D25" s="33"/>
      <c r="E25" s="49">
        <f>-E22-E24</f>
        <v>-438078.27529363008</v>
      </c>
    </row>
    <row r="26" spans="1:5" ht="13.5" thickTop="1">
      <c r="A26" s="33"/>
      <c r="B26" s="33"/>
      <c r="C26" s="33"/>
      <c r="D26" s="33"/>
      <c r="E26" s="33"/>
    </row>
    <row r="27" spans="1:5">
      <c r="A27" s="33"/>
      <c r="B27" s="33"/>
      <c r="C27" s="33"/>
      <c r="D27" s="33"/>
      <c r="E27" s="33"/>
    </row>
    <row r="28" spans="1:5">
      <c r="A28" s="33"/>
      <c r="B28" s="33"/>
      <c r="C28" s="33"/>
      <c r="D28" s="33"/>
      <c r="E28" s="33"/>
    </row>
    <row r="29" spans="1:5">
      <c r="A29" s="33"/>
      <c r="B29" s="33"/>
      <c r="C29" s="33"/>
      <c r="D29" s="33"/>
      <c r="E29" s="33"/>
    </row>
    <row r="30" spans="1:5">
      <c r="A30" s="33"/>
      <c r="B30" s="33"/>
      <c r="C30" s="33"/>
      <c r="D30" s="33"/>
      <c r="E30" s="33"/>
    </row>
    <row r="31" spans="1:5">
      <c r="A31" s="33"/>
      <c r="B31" s="33"/>
      <c r="C31" s="33"/>
      <c r="D31" s="33"/>
      <c r="E31" s="33"/>
    </row>
    <row r="32" spans="1:5">
      <c r="A32" s="33"/>
      <c r="B32" s="33"/>
      <c r="C32" s="33"/>
      <c r="D32" s="33"/>
      <c r="E32" s="33"/>
    </row>
    <row r="33" spans="1:5">
      <c r="A33" s="33"/>
      <c r="B33" s="33"/>
      <c r="C33" s="33"/>
      <c r="D33" s="33"/>
      <c r="E33" s="33"/>
    </row>
    <row r="34" spans="1:5">
      <c r="D34" s="33"/>
      <c r="E34" s="33"/>
    </row>
  </sheetData>
  <phoneticPr fontId="9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G29"/>
  <sheetViews>
    <sheetView zoomScale="90" zoomScaleNormal="90" workbookViewId="0">
      <selection activeCell="H29" sqref="H29"/>
    </sheetView>
  </sheetViews>
  <sheetFormatPr defaultColWidth="8.85546875" defaultRowHeight="12.75"/>
  <cols>
    <col min="1" max="2" width="12.7109375" style="79" customWidth="1"/>
    <col min="3" max="3" width="40.28515625" style="90" customWidth="1"/>
    <col min="4" max="4" width="10.85546875" style="91" bestFit="1" customWidth="1"/>
    <col min="5" max="5" width="19.28515625" style="41" customWidth="1"/>
    <col min="6" max="16384" width="8.85546875" style="79"/>
  </cols>
  <sheetData>
    <row r="1" spans="1:5" ht="15.75">
      <c r="A1" s="77"/>
      <c r="B1" s="78"/>
      <c r="C1" s="36" t="s">
        <v>9</v>
      </c>
      <c r="D1" s="36"/>
      <c r="E1" s="37"/>
    </row>
    <row r="2" spans="1:5">
      <c r="A2" s="80"/>
      <c r="B2" s="81"/>
      <c r="C2" s="34" t="s">
        <v>14</v>
      </c>
      <c r="D2" s="34"/>
      <c r="E2" s="38"/>
    </row>
    <row r="3" spans="1:5">
      <c r="A3" s="80"/>
      <c r="B3" s="81"/>
      <c r="C3" s="34"/>
      <c r="D3" s="34"/>
      <c r="E3" s="38"/>
    </row>
    <row r="4" spans="1:5">
      <c r="A4" s="80"/>
      <c r="B4" s="81"/>
      <c r="C4" s="82" t="s">
        <v>28</v>
      </c>
      <c r="D4" s="83">
        <f>'Summary GRCs'!B9</f>
        <v>2136119.15</v>
      </c>
      <c r="E4" s="38"/>
    </row>
    <row r="5" spans="1:5">
      <c r="A5" s="80"/>
      <c r="B5" s="81"/>
      <c r="C5" s="82"/>
      <c r="D5" s="84"/>
      <c r="E5" s="38"/>
    </row>
    <row r="6" spans="1:5">
      <c r="A6" s="80"/>
      <c r="B6" s="81"/>
      <c r="C6" s="82" t="s">
        <v>62</v>
      </c>
      <c r="D6" s="84">
        <f>'Summary GRCs'!B18</f>
        <v>2251684.02</v>
      </c>
      <c r="E6" s="38"/>
    </row>
    <row r="7" spans="1:5">
      <c r="A7" s="80"/>
      <c r="B7" s="81"/>
      <c r="C7" s="82"/>
      <c r="D7" s="84"/>
      <c r="E7" s="38"/>
    </row>
    <row r="8" spans="1:5">
      <c r="A8" s="80"/>
      <c r="B8" s="81"/>
      <c r="C8" s="82"/>
      <c r="D8" s="84"/>
      <c r="E8" s="38"/>
    </row>
    <row r="9" spans="1:5">
      <c r="A9" s="80"/>
      <c r="B9" s="81"/>
      <c r="C9" s="82" t="s">
        <v>15</v>
      </c>
      <c r="D9" s="84">
        <f>(D4+D6)/2</f>
        <v>2193901.585</v>
      </c>
      <c r="E9" s="38"/>
    </row>
    <row r="10" spans="1:5">
      <c r="A10" s="80"/>
      <c r="B10" s="81"/>
      <c r="C10" s="82"/>
      <c r="D10" s="84"/>
      <c r="E10" s="38"/>
    </row>
    <row r="11" spans="1:5">
      <c r="A11" s="80"/>
      <c r="B11" s="81"/>
      <c r="C11" s="82" t="s">
        <v>32</v>
      </c>
      <c r="D11" s="84">
        <f>+D9/2</f>
        <v>1096950.7925</v>
      </c>
      <c r="E11" s="38"/>
    </row>
    <row r="12" spans="1:5">
      <c r="A12" s="80"/>
      <c r="B12" s="81"/>
      <c r="C12" s="82"/>
      <c r="D12" s="84"/>
      <c r="E12" s="38"/>
    </row>
    <row r="13" spans="1:5">
      <c r="A13" s="80"/>
      <c r="B13" s="81"/>
      <c r="C13" s="82" t="s">
        <v>19</v>
      </c>
      <c r="D13" s="84">
        <f>ROUND(+D11,-3)</f>
        <v>1097000</v>
      </c>
      <c r="E13" s="38"/>
    </row>
    <row r="14" spans="1:5">
      <c r="A14" s="85"/>
      <c r="B14" s="86"/>
      <c r="C14" s="87"/>
      <c r="D14" s="88"/>
      <c r="E14" s="39"/>
    </row>
    <row r="15" spans="1:5">
      <c r="A15" s="81"/>
      <c r="B15" s="81"/>
      <c r="C15" s="82"/>
      <c r="D15" s="89"/>
      <c r="E15" s="40"/>
    </row>
    <row r="16" spans="1:5" ht="15.75">
      <c r="A16" s="77"/>
      <c r="B16" s="78"/>
      <c r="C16" s="36" t="s">
        <v>9</v>
      </c>
      <c r="D16" s="36"/>
      <c r="E16" s="37"/>
    </row>
    <row r="17" spans="1:7">
      <c r="A17" s="80"/>
      <c r="B17" s="81"/>
      <c r="C17" s="34" t="s">
        <v>13</v>
      </c>
      <c r="D17" s="34"/>
      <c r="E17" s="38"/>
    </row>
    <row r="18" spans="1:7">
      <c r="A18" s="80"/>
      <c r="B18" s="81"/>
      <c r="C18" s="34"/>
      <c r="D18" s="34"/>
      <c r="E18" s="38"/>
      <c r="F18" s="90"/>
      <c r="G18" s="90"/>
    </row>
    <row r="19" spans="1:7">
      <c r="A19" s="80"/>
      <c r="B19" s="81"/>
      <c r="C19" s="82" t="s">
        <v>44</v>
      </c>
      <c r="D19" s="84">
        <f>'Summary PCORCs'!B10</f>
        <v>148465.66</v>
      </c>
      <c r="E19" s="38"/>
      <c r="F19" s="90"/>
      <c r="G19" s="90"/>
    </row>
    <row r="20" spans="1:7">
      <c r="A20" s="80"/>
      <c r="B20" s="81"/>
      <c r="C20" s="82"/>
      <c r="D20" s="84"/>
      <c r="E20" s="38"/>
      <c r="F20" s="90"/>
      <c r="G20" s="90"/>
    </row>
    <row r="21" spans="1:7">
      <c r="A21" s="80"/>
      <c r="B21" s="81"/>
      <c r="C21" s="82" t="s">
        <v>38</v>
      </c>
      <c r="D21" s="84">
        <f>'Summary PCORCs'!B6</f>
        <v>396820.91000000009</v>
      </c>
      <c r="E21" s="38"/>
      <c r="F21" s="90"/>
      <c r="G21" s="90"/>
    </row>
    <row r="22" spans="1:7">
      <c r="A22" s="80"/>
      <c r="B22" s="81"/>
      <c r="C22" s="82"/>
      <c r="D22" s="84"/>
      <c r="E22" s="38"/>
      <c r="F22" s="90"/>
      <c r="G22" s="90"/>
    </row>
    <row r="23" spans="1:7">
      <c r="A23" s="80"/>
      <c r="B23" s="81"/>
      <c r="C23" s="82" t="s">
        <v>33</v>
      </c>
      <c r="D23" s="84">
        <f>(+D19+D21)/2</f>
        <v>272643.28500000003</v>
      </c>
      <c r="E23" s="38"/>
      <c r="F23" s="90"/>
      <c r="G23" s="90"/>
    </row>
    <row r="24" spans="1:7">
      <c r="A24" s="80"/>
      <c r="B24" s="81"/>
      <c r="C24" s="82"/>
      <c r="D24" s="84"/>
      <c r="E24" s="38"/>
      <c r="F24" s="90"/>
      <c r="G24" s="90"/>
    </row>
    <row r="25" spans="1:7">
      <c r="A25" s="80"/>
      <c r="B25" s="81"/>
      <c r="C25" s="82" t="s">
        <v>34</v>
      </c>
      <c r="D25" s="84">
        <f>ROUND(+D23,-3)</f>
        <v>273000</v>
      </c>
      <c r="E25" s="38"/>
      <c r="F25" s="90"/>
      <c r="G25" s="90"/>
    </row>
    <row r="26" spans="1:7">
      <c r="A26" s="85"/>
      <c r="B26" s="86"/>
      <c r="C26" s="87"/>
      <c r="D26" s="88"/>
      <c r="E26" s="39"/>
      <c r="F26" s="90"/>
      <c r="G26" s="90"/>
    </row>
    <row r="27" spans="1:7">
      <c r="B27" s="81"/>
      <c r="C27" s="82"/>
      <c r="D27" s="89"/>
      <c r="E27" s="40"/>
      <c r="F27" s="90"/>
      <c r="G27" s="90"/>
    </row>
    <row r="28" spans="1:7">
      <c r="A28" s="81"/>
      <c r="B28" s="81"/>
      <c r="C28" s="82"/>
      <c r="D28" s="89"/>
      <c r="E28" s="40"/>
      <c r="F28" s="90"/>
      <c r="G28" s="90"/>
    </row>
    <row r="29" spans="1:7">
      <c r="A29" s="7"/>
      <c r="B29" s="7"/>
      <c r="E29" s="92"/>
      <c r="F29" s="90"/>
      <c r="G29" s="90"/>
    </row>
  </sheetData>
  <phoneticPr fontId="9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4"/>
  <sheetViews>
    <sheetView zoomScale="90" zoomScaleNormal="90" workbookViewId="0">
      <selection activeCell="H29" sqref="H29"/>
    </sheetView>
  </sheetViews>
  <sheetFormatPr defaultColWidth="8.85546875" defaultRowHeight="12.75"/>
  <cols>
    <col min="1" max="1" width="50.7109375" style="90" bestFit="1" customWidth="1"/>
    <col min="2" max="2" width="17" style="90" customWidth="1"/>
    <col min="3" max="4" width="13.42578125" style="90" bestFit="1" customWidth="1"/>
    <col min="5" max="16384" width="8.85546875" style="90"/>
  </cols>
  <sheetData>
    <row r="1" spans="1:4">
      <c r="A1" s="141" t="s">
        <v>9</v>
      </c>
      <c r="B1" s="141"/>
      <c r="C1" s="141"/>
      <c r="D1" s="141"/>
    </row>
    <row r="2" spans="1:4">
      <c r="A2" s="142" t="s">
        <v>69</v>
      </c>
      <c r="B2" s="142"/>
      <c r="C2" s="142"/>
      <c r="D2" s="142"/>
    </row>
    <row r="3" spans="1:4">
      <c r="A3" s="142" t="s">
        <v>35</v>
      </c>
      <c r="B3" s="142"/>
      <c r="C3" s="142"/>
      <c r="D3" s="142"/>
    </row>
    <row r="4" spans="1:4">
      <c r="A4" s="57"/>
      <c r="B4" s="58"/>
      <c r="C4" s="58"/>
      <c r="D4" s="58"/>
    </row>
    <row r="5" spans="1:4">
      <c r="A5" s="57"/>
      <c r="B5" s="58"/>
      <c r="C5" s="59" t="s">
        <v>30</v>
      </c>
      <c r="D5" s="60" t="s">
        <v>10</v>
      </c>
    </row>
    <row r="6" spans="1:4" ht="15">
      <c r="A6" s="55" t="s">
        <v>31</v>
      </c>
      <c r="B6" s="56" t="s">
        <v>22</v>
      </c>
      <c r="C6" s="132">
        <f>[1]Lead!$E$35</f>
        <v>0.66190000000000004</v>
      </c>
      <c r="D6" s="132">
        <f>[1]Lead!$F$35</f>
        <v>0.33810000000000001</v>
      </c>
    </row>
    <row r="7" spans="1:4" ht="15">
      <c r="A7" s="73"/>
      <c r="B7" s="74"/>
      <c r="C7" s="93"/>
      <c r="D7" s="93"/>
    </row>
    <row r="8" spans="1:4">
      <c r="A8" s="94" t="s">
        <v>29</v>
      </c>
      <c r="B8" s="95">
        <f>'Summary PCORCs'!K6</f>
        <v>0</v>
      </c>
      <c r="C8" s="95">
        <f>B8*$C$6</f>
        <v>0</v>
      </c>
      <c r="D8" s="96">
        <f>B8*$D$6</f>
        <v>0</v>
      </c>
    </row>
    <row r="9" spans="1:4">
      <c r="A9" s="94" t="s">
        <v>41</v>
      </c>
      <c r="B9" s="95">
        <f>'Summary PCORCs'!K10</f>
        <v>0</v>
      </c>
      <c r="C9" s="95">
        <f>B9*$C$6</f>
        <v>0</v>
      </c>
      <c r="D9" s="96">
        <f>B9*$D$6</f>
        <v>0</v>
      </c>
    </row>
    <row r="10" spans="1:4">
      <c r="A10" s="71" t="s">
        <v>43</v>
      </c>
      <c r="B10" s="64">
        <f>SUM(B8:B9)</f>
        <v>0</v>
      </c>
      <c r="C10" s="64">
        <f>SUM(C8:C9)</f>
        <v>0</v>
      </c>
      <c r="D10" s="65"/>
    </row>
    <row r="11" spans="1:4">
      <c r="A11" s="99"/>
      <c r="B11" s="97"/>
      <c r="C11" s="97"/>
      <c r="D11" s="82"/>
    </row>
    <row r="12" spans="1:4">
      <c r="A12" s="90" t="s">
        <v>53</v>
      </c>
      <c r="B12" s="95">
        <v>0</v>
      </c>
      <c r="C12" s="95">
        <f>+B12*$C$6</f>
        <v>0</v>
      </c>
      <c r="D12" s="98">
        <f>+B12*$D$6</f>
        <v>0</v>
      </c>
    </row>
    <row r="13" spans="1:4">
      <c r="A13" s="90" t="s">
        <v>54</v>
      </c>
      <c r="B13" s="125">
        <f>B42</f>
        <v>-17998.37</v>
      </c>
      <c r="C13" s="125">
        <f t="shared" ref="C13:C15" si="0">+B13*$C$6</f>
        <v>-11913.121102999999</v>
      </c>
      <c r="D13" s="126">
        <f t="shared" ref="D13:D15" si="1">+B13*$D$6</f>
        <v>-6085.2488969999995</v>
      </c>
    </row>
    <row r="14" spans="1:4">
      <c r="A14" s="90" t="s">
        <v>55</v>
      </c>
      <c r="B14" s="95">
        <v>0</v>
      </c>
      <c r="C14" s="95">
        <f t="shared" si="0"/>
        <v>0</v>
      </c>
      <c r="D14" s="98">
        <f t="shared" si="1"/>
        <v>0</v>
      </c>
    </row>
    <row r="15" spans="1:4">
      <c r="A15" s="90" t="s">
        <v>56</v>
      </c>
      <c r="B15" s="95">
        <f>B38</f>
        <v>165</v>
      </c>
      <c r="C15" s="95">
        <f t="shared" si="0"/>
        <v>109.21350000000001</v>
      </c>
      <c r="D15" s="98">
        <f t="shared" si="1"/>
        <v>55.786500000000004</v>
      </c>
    </row>
    <row r="16" spans="1:4">
      <c r="A16" s="72" t="s">
        <v>51</v>
      </c>
      <c r="B16" s="127">
        <f>SUM(B12:B15)</f>
        <v>-17833.37</v>
      </c>
      <c r="C16" s="127">
        <f>SUM(C12:C15)</f>
        <v>-11803.907603</v>
      </c>
      <c r="D16" s="127">
        <f>SUM(D12:D15)</f>
        <v>-6029.4623969999993</v>
      </c>
    </row>
    <row r="18" spans="1:2">
      <c r="A18" s="90" t="s">
        <v>70</v>
      </c>
    </row>
    <row r="19" spans="1:2">
      <c r="A19" s="90" t="s">
        <v>93</v>
      </c>
    </row>
    <row r="20" spans="1:2">
      <c r="A20" s="90" t="s">
        <v>71</v>
      </c>
    </row>
    <row r="22" spans="1:2">
      <c r="A22" s="90" t="s">
        <v>72</v>
      </c>
    </row>
    <row r="23" spans="1:2">
      <c r="A23" s="82"/>
      <c r="B23" s="89"/>
    </row>
    <row r="24" spans="1:2" ht="15">
      <c r="A24" s="55" t="s">
        <v>31</v>
      </c>
      <c r="B24" s="56" t="s">
        <v>22</v>
      </c>
    </row>
    <row r="25" spans="1:2">
      <c r="A25" s="133" t="s">
        <v>75</v>
      </c>
      <c r="B25" s="134">
        <v>62635.05</v>
      </c>
    </row>
    <row r="26" spans="1:2">
      <c r="A26" s="133" t="s">
        <v>76</v>
      </c>
      <c r="B26" s="134">
        <v>82428.960000000006</v>
      </c>
    </row>
    <row r="27" spans="1:2">
      <c r="A27" s="133" t="s">
        <v>77</v>
      </c>
      <c r="B27" s="134">
        <v>143332.09</v>
      </c>
    </row>
    <row r="28" spans="1:2">
      <c r="A28" s="133" t="s">
        <v>78</v>
      </c>
      <c r="B28" s="134">
        <v>4669751.78</v>
      </c>
    </row>
    <row r="29" spans="1:2">
      <c r="A29" s="133" t="s">
        <v>79</v>
      </c>
      <c r="B29" s="134">
        <v>1449949.85</v>
      </c>
    </row>
    <row r="30" spans="1:2">
      <c r="A30" s="133" t="s">
        <v>80</v>
      </c>
      <c r="B30" s="134">
        <v>733.01</v>
      </c>
    </row>
    <row r="31" spans="1:2">
      <c r="A31" s="133" t="s">
        <v>81</v>
      </c>
      <c r="B31" s="134">
        <v>0</v>
      </c>
    </row>
    <row r="32" spans="1:2">
      <c r="A32" s="133" t="s">
        <v>82</v>
      </c>
      <c r="B32" s="134">
        <v>743621.98</v>
      </c>
    </row>
    <row r="33" spans="1:3">
      <c r="A33" s="135" t="s">
        <v>83</v>
      </c>
      <c r="B33" s="136">
        <v>7152452.7199999997</v>
      </c>
    </row>
    <row r="34" spans="1:3">
      <c r="A34" s="133" t="s">
        <v>84</v>
      </c>
      <c r="B34" s="134">
        <v>178310.61</v>
      </c>
      <c r="C34" s="100"/>
    </row>
    <row r="35" spans="1:3">
      <c r="A35" s="133" t="s">
        <v>85</v>
      </c>
      <c r="B35" s="134">
        <v>1699067.74</v>
      </c>
    </row>
    <row r="36" spans="1:3">
      <c r="A36" s="135" t="s">
        <v>86</v>
      </c>
      <c r="B36" s="136">
        <v>1877378.35</v>
      </c>
    </row>
    <row r="37" spans="1:3">
      <c r="A37" s="133" t="s">
        <v>87</v>
      </c>
      <c r="B37" s="134">
        <v>184721.53</v>
      </c>
    </row>
    <row r="38" spans="1:3">
      <c r="A38" s="133" t="s">
        <v>88</v>
      </c>
      <c r="B38" s="134">
        <v>165</v>
      </c>
    </row>
    <row r="39" spans="1:3">
      <c r="A39" s="133" t="s">
        <v>89</v>
      </c>
      <c r="B39" s="134">
        <v>203718.47</v>
      </c>
    </row>
    <row r="40" spans="1:3">
      <c r="A40" s="133" t="s">
        <v>90</v>
      </c>
      <c r="B40" s="137">
        <v>-86996.99</v>
      </c>
    </row>
    <row r="41" spans="1:3">
      <c r="A41" s="133" t="s">
        <v>91</v>
      </c>
      <c r="B41" s="134">
        <v>41281.01</v>
      </c>
    </row>
    <row r="42" spans="1:3">
      <c r="A42" s="133" t="s">
        <v>92</v>
      </c>
      <c r="B42" s="137">
        <v>-17998.37</v>
      </c>
    </row>
    <row r="43" spans="1:3">
      <c r="A43" s="135" t="s">
        <v>73</v>
      </c>
      <c r="B43" s="136">
        <v>324890.65000000002</v>
      </c>
    </row>
    <row r="44" spans="1:3">
      <c r="A44" s="138" t="s">
        <v>74</v>
      </c>
      <c r="B44" s="139">
        <v>9354721.7200000007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70" zoomScaleNormal="70" workbookViewId="0"/>
  </sheetViews>
  <sheetFormatPr defaultColWidth="8.85546875" defaultRowHeight="12.75"/>
  <cols>
    <col min="1" max="1" width="39.7109375" style="33" customWidth="1"/>
    <col min="2" max="2" width="18.85546875" style="52" customWidth="1"/>
    <col min="3" max="11" width="10.7109375" style="33" customWidth="1"/>
    <col min="12" max="12" width="5" style="33" bestFit="1" customWidth="1"/>
    <col min="13" max="16384" width="8.85546875" style="33"/>
  </cols>
  <sheetData>
    <row r="1" spans="1:17">
      <c r="A1" s="42"/>
      <c r="B1" s="51"/>
    </row>
    <row r="2" spans="1:17">
      <c r="A2" s="42" t="s">
        <v>68</v>
      </c>
      <c r="B2" s="51"/>
    </row>
    <row r="3" spans="1:17">
      <c r="I3" s="35"/>
    </row>
    <row r="4" spans="1:17">
      <c r="A4" s="70"/>
      <c r="B4" s="101" t="s">
        <v>16</v>
      </c>
      <c r="C4" s="69">
        <v>2010</v>
      </c>
      <c r="D4" s="69">
        <v>2011</v>
      </c>
      <c r="E4" s="69">
        <v>2012</v>
      </c>
      <c r="F4" s="69">
        <v>2013</v>
      </c>
      <c r="G4" s="69">
        <v>2014</v>
      </c>
      <c r="H4" s="69">
        <v>2015</v>
      </c>
      <c r="I4" s="69">
        <v>2016</v>
      </c>
      <c r="J4" s="69">
        <v>2017</v>
      </c>
      <c r="K4" s="69">
        <v>2018</v>
      </c>
    </row>
    <row r="5" spans="1:17" s="35" customFormat="1">
      <c r="A5" s="102" t="s">
        <v>23</v>
      </c>
      <c r="B5" s="52"/>
    </row>
    <row r="6" spans="1:17" s="35" customFormat="1">
      <c r="A6" s="63" t="s">
        <v>24</v>
      </c>
      <c r="B6" s="129">
        <f>SUM(C6:K6)</f>
        <v>70624.12</v>
      </c>
      <c r="C6" s="53">
        <v>36510</v>
      </c>
      <c r="D6" s="53">
        <v>34114.120000000003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</row>
    <row r="7" spans="1:17" s="35" customFormat="1">
      <c r="A7" s="63" t="s">
        <v>25</v>
      </c>
      <c r="B7" s="131">
        <f>SUM(C7:K7)</f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</row>
    <row r="8" spans="1:17" s="35" customFormat="1">
      <c r="A8" s="63" t="s">
        <v>26</v>
      </c>
      <c r="B8" s="130">
        <f>SUM(C8:K8)</f>
        <v>2065495.0299999998</v>
      </c>
      <c r="C8" s="119">
        <v>293003.14</v>
      </c>
      <c r="D8" s="119">
        <v>1014247.8</v>
      </c>
      <c r="E8" s="119">
        <v>758244.09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</row>
    <row r="9" spans="1:17" s="35" customFormat="1" ht="13.5" thickBot="1">
      <c r="A9" s="54" t="s">
        <v>27</v>
      </c>
      <c r="B9" s="118">
        <f>SUM(B6:B8)</f>
        <v>2136119.15</v>
      </c>
      <c r="C9" s="121">
        <f>SUM(C6:C8)</f>
        <v>329513.14</v>
      </c>
      <c r="D9" s="121">
        <f>SUM(D6:D8)</f>
        <v>1048361.92</v>
      </c>
      <c r="E9" s="121">
        <f>SUM(E6:E8)</f>
        <v>758244.09</v>
      </c>
      <c r="F9" s="121">
        <f t="shared" ref="F9:K9" si="0">SUM(F6:F8)</f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  <c r="J9" s="121">
        <f t="shared" si="0"/>
        <v>0</v>
      </c>
      <c r="K9" s="121">
        <f t="shared" si="0"/>
        <v>0</v>
      </c>
    </row>
    <row r="10" spans="1:17" s="35" customFormat="1" ht="13.5" thickTop="1">
      <c r="A10" s="54"/>
      <c r="B10" s="62"/>
      <c r="C10" s="66"/>
      <c r="D10" s="66"/>
      <c r="F10" s="53"/>
      <c r="G10" s="53"/>
      <c r="H10" s="53"/>
      <c r="I10" s="53"/>
    </row>
    <row r="11" spans="1:17" s="35" customFormat="1">
      <c r="A11" s="33"/>
      <c r="B11" s="75"/>
      <c r="C11" s="53"/>
      <c r="D11" s="53"/>
      <c r="E11" s="53"/>
      <c r="F11" s="53"/>
      <c r="G11" s="53"/>
      <c r="H11" s="53"/>
    </row>
    <row r="12" spans="1:17" s="35" customFormat="1">
      <c r="A12" s="33"/>
      <c r="B12" s="101" t="s">
        <v>16</v>
      </c>
      <c r="C12" s="69">
        <v>2010</v>
      </c>
      <c r="D12" s="69">
        <v>2011</v>
      </c>
      <c r="E12" s="69">
        <v>2012</v>
      </c>
      <c r="F12" s="69">
        <v>2013</v>
      </c>
      <c r="G12" s="69">
        <v>2014</v>
      </c>
      <c r="H12" s="69">
        <v>2015</v>
      </c>
      <c r="I12" s="69">
        <v>2016</v>
      </c>
      <c r="J12" s="69">
        <v>2017</v>
      </c>
      <c r="K12" s="69">
        <v>2018</v>
      </c>
      <c r="L12" s="33"/>
      <c r="M12" s="33"/>
      <c r="N12" s="33"/>
      <c r="O12" s="33"/>
      <c r="P12" s="33"/>
      <c r="Q12" s="33"/>
    </row>
    <row r="13" spans="1:17" s="35" customFormat="1">
      <c r="A13" s="102" t="s">
        <v>57</v>
      </c>
      <c r="B13" s="52"/>
      <c r="G13" s="33"/>
      <c r="H13" s="52"/>
      <c r="K13" s="33"/>
      <c r="L13" s="33"/>
      <c r="M13" s="33"/>
      <c r="N13" s="33"/>
      <c r="O13" s="33"/>
      <c r="P13" s="33"/>
      <c r="Q13" s="33"/>
    </row>
    <row r="14" spans="1:17" s="35" customFormat="1">
      <c r="A14" s="105" t="s">
        <v>58</v>
      </c>
      <c r="B14" s="129">
        <f>SUM(C14:K14)</f>
        <v>5299.06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53">
        <v>0</v>
      </c>
      <c r="J14" s="53">
        <v>5299.06</v>
      </c>
      <c r="K14" s="117">
        <v>0</v>
      </c>
      <c r="L14" s="33"/>
      <c r="M14" s="33"/>
      <c r="N14" s="33"/>
      <c r="O14" s="33"/>
      <c r="P14" s="33"/>
      <c r="Q14" s="33"/>
    </row>
    <row r="15" spans="1:17" s="35" customFormat="1">
      <c r="A15" s="105" t="s">
        <v>59</v>
      </c>
      <c r="B15" s="129">
        <f>SUM(C15:K15)</f>
        <v>73961.819999999643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53">
        <v>0</v>
      </c>
      <c r="J15" s="53">
        <v>91960.189999999639</v>
      </c>
      <c r="K15" s="117">
        <v>-17998.37</v>
      </c>
      <c r="L15" s="33"/>
      <c r="M15" s="33"/>
      <c r="N15" s="33"/>
      <c r="O15" s="33"/>
      <c r="P15" s="33"/>
      <c r="Q15" s="33"/>
    </row>
    <row r="16" spans="1:17" s="35" customFormat="1">
      <c r="A16" s="105" t="s">
        <v>60</v>
      </c>
      <c r="B16" s="129">
        <f>SUM(C16:K16)</f>
        <v>33340.639999999999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53">
        <v>0</v>
      </c>
      <c r="J16" s="53">
        <v>33340.639999999999</v>
      </c>
      <c r="K16" s="53">
        <v>0</v>
      </c>
      <c r="L16" s="33"/>
      <c r="M16" s="33"/>
      <c r="N16" s="33"/>
      <c r="O16" s="33"/>
      <c r="P16" s="33"/>
      <c r="Q16" s="33"/>
    </row>
    <row r="17" spans="1:17" s="35" customFormat="1">
      <c r="A17" s="105" t="s">
        <v>61</v>
      </c>
      <c r="B17" s="130">
        <f>SUM(C17:K17)</f>
        <v>2139082.5000000005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118073.58</v>
      </c>
      <c r="I17" s="119">
        <v>275412.11</v>
      </c>
      <c r="J17" s="119">
        <v>1745431.8100000003</v>
      </c>
      <c r="K17" s="120">
        <v>165</v>
      </c>
      <c r="L17" s="33"/>
      <c r="M17" s="33"/>
      <c r="N17" s="33"/>
      <c r="O17" s="33"/>
      <c r="P17" s="33"/>
      <c r="Q17" s="33"/>
    </row>
    <row r="18" spans="1:17" s="35" customFormat="1" ht="13.5" thickBot="1">
      <c r="A18" s="54" t="s">
        <v>52</v>
      </c>
      <c r="B18" s="118">
        <f>SUM(B14:B17)</f>
        <v>2251684.02</v>
      </c>
      <c r="C18" s="121">
        <f>SUM(C14:C17)</f>
        <v>0</v>
      </c>
      <c r="D18" s="121">
        <f t="shared" ref="D18:K18" si="1">SUM(D14:D17)</f>
        <v>0</v>
      </c>
      <c r="E18" s="121">
        <f t="shared" si="1"/>
        <v>0</v>
      </c>
      <c r="F18" s="121">
        <f t="shared" si="1"/>
        <v>0</v>
      </c>
      <c r="G18" s="121">
        <f t="shared" si="1"/>
        <v>0</v>
      </c>
      <c r="H18" s="121">
        <f t="shared" si="1"/>
        <v>118073.58</v>
      </c>
      <c r="I18" s="121">
        <f t="shared" si="1"/>
        <v>275412.11</v>
      </c>
      <c r="J18" s="121">
        <f>SUM(J14:J17)</f>
        <v>1876031.7</v>
      </c>
      <c r="K18" s="121">
        <f t="shared" si="1"/>
        <v>-17833.37</v>
      </c>
      <c r="L18" s="53"/>
    </row>
    <row r="19" spans="1:17" s="35" customFormat="1" ht="13.5" thickTop="1">
      <c r="A19" s="54"/>
      <c r="B19" s="62"/>
      <c r="C19" s="66"/>
      <c r="D19" s="67"/>
      <c r="E19" s="53"/>
      <c r="F19" s="53"/>
      <c r="G19" s="53"/>
      <c r="H19" s="53"/>
      <c r="I19" s="53"/>
      <c r="J19" s="53"/>
      <c r="K19" s="53"/>
      <c r="L19" s="53"/>
    </row>
    <row r="20" spans="1:17">
      <c r="B20" s="75"/>
      <c r="C20" s="53"/>
      <c r="D20" s="53"/>
      <c r="F20" s="76"/>
    </row>
    <row r="21" spans="1:17" ht="13.5" thickBot="1">
      <c r="A21" s="33" t="s">
        <v>66</v>
      </c>
      <c r="B21" s="128">
        <f>B18+B9</f>
        <v>4387803.17</v>
      </c>
    </row>
    <row r="22" spans="1:17" ht="13.5" thickTop="1"/>
    <row r="23" spans="1:17">
      <c r="A23" s="122"/>
      <c r="B23" s="124"/>
    </row>
    <row r="25" spans="1:17">
      <c r="A25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2:K14"/>
  <sheetViews>
    <sheetView zoomScale="90" zoomScaleNormal="90" workbookViewId="0">
      <selection activeCell="E6" sqref="E6"/>
    </sheetView>
  </sheetViews>
  <sheetFormatPr defaultColWidth="8.85546875" defaultRowHeight="12.75"/>
  <cols>
    <col min="1" max="1" width="30" style="90" bestFit="1" customWidth="1"/>
    <col min="2" max="2" width="11.42578125" style="91" bestFit="1" customWidth="1"/>
    <col min="3" max="4" width="8.85546875" style="91" bestFit="1" customWidth="1"/>
    <col min="5" max="5" width="7.28515625" style="90" bestFit="1" customWidth="1"/>
    <col min="6" max="7" width="9.5703125" style="90" bestFit="1" customWidth="1"/>
    <col min="8" max="8" width="5.5703125" style="79" bestFit="1" customWidth="1"/>
    <col min="9" max="16384" width="8.85546875" style="79"/>
  </cols>
  <sheetData>
    <row r="2" spans="1:11">
      <c r="A2" s="42" t="s">
        <v>65</v>
      </c>
    </row>
    <row r="3" spans="1:11">
      <c r="B3" s="100"/>
      <c r="C3" s="33"/>
      <c r="D3" s="33"/>
      <c r="E3" s="33"/>
      <c r="F3" s="33"/>
      <c r="G3" s="33"/>
      <c r="H3" s="33"/>
      <c r="I3" s="33"/>
      <c r="J3" s="33"/>
      <c r="K3" s="33"/>
    </row>
    <row r="4" spans="1:11">
      <c r="A4" s="106"/>
      <c r="B4" s="107" t="s">
        <v>16</v>
      </c>
      <c r="C4" s="69">
        <v>2010</v>
      </c>
      <c r="D4" s="69">
        <v>2011</v>
      </c>
      <c r="E4" s="69">
        <v>2012</v>
      </c>
      <c r="F4" s="69">
        <v>2013</v>
      </c>
      <c r="G4" s="69">
        <v>2014</v>
      </c>
      <c r="H4" s="69">
        <v>2015</v>
      </c>
      <c r="I4" s="69">
        <v>2016</v>
      </c>
      <c r="J4" s="69">
        <v>2017</v>
      </c>
      <c r="K4" s="69">
        <v>2018</v>
      </c>
    </row>
    <row r="5" spans="1:11">
      <c r="A5" s="108" t="s">
        <v>36</v>
      </c>
      <c r="B5" s="109"/>
      <c r="C5" s="100"/>
      <c r="D5" s="100"/>
      <c r="E5" s="100"/>
      <c r="F5" s="100"/>
      <c r="G5" s="33"/>
      <c r="H5" s="110"/>
      <c r="I5" s="110"/>
      <c r="J5" s="110"/>
      <c r="K5" s="33"/>
    </row>
    <row r="6" spans="1:11">
      <c r="A6" s="105" t="s">
        <v>37</v>
      </c>
      <c r="B6" s="111">
        <f>SUM(C6:K6)</f>
        <v>396820.91000000009</v>
      </c>
      <c r="C6" s="112">
        <v>0</v>
      </c>
      <c r="D6" s="112">
        <v>0</v>
      </c>
      <c r="E6" s="112">
        <v>5377.76</v>
      </c>
      <c r="F6" s="112">
        <v>391443.15000000008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</row>
    <row r="7" spans="1:11">
      <c r="A7" s="105"/>
      <c r="B7" s="113"/>
      <c r="C7" s="114"/>
      <c r="D7" s="114"/>
      <c r="E7" s="114"/>
      <c r="F7" s="114"/>
      <c r="G7" s="115"/>
      <c r="H7" s="115"/>
      <c r="I7" s="115"/>
      <c r="J7" s="115"/>
      <c r="K7" s="115"/>
    </row>
    <row r="8" spans="1:11">
      <c r="A8" s="105"/>
      <c r="B8" s="113"/>
      <c r="C8" s="114"/>
      <c r="D8" s="114"/>
      <c r="E8" s="114"/>
      <c r="F8" s="114"/>
      <c r="G8" s="115"/>
      <c r="H8" s="115"/>
      <c r="I8" s="115"/>
      <c r="J8" s="115"/>
      <c r="K8" s="115"/>
    </row>
    <row r="9" spans="1:11">
      <c r="A9" s="108" t="s">
        <v>39</v>
      </c>
      <c r="B9" s="107" t="s">
        <v>16</v>
      </c>
      <c r="C9" s="69">
        <v>2010</v>
      </c>
      <c r="D9" s="69">
        <v>2011</v>
      </c>
      <c r="E9" s="69">
        <v>2012</v>
      </c>
      <c r="F9" s="69">
        <v>2013</v>
      </c>
      <c r="G9" s="69">
        <v>2014</v>
      </c>
      <c r="H9" s="69">
        <v>2015</v>
      </c>
      <c r="I9" s="69">
        <v>2016</v>
      </c>
      <c r="J9" s="69">
        <v>2017</v>
      </c>
      <c r="K9" s="69">
        <v>2018</v>
      </c>
    </row>
    <row r="10" spans="1:11">
      <c r="A10" s="105" t="s">
        <v>40</v>
      </c>
      <c r="B10" s="111">
        <f>SUM(C10:K10)</f>
        <v>148465.66</v>
      </c>
      <c r="C10" s="112">
        <v>0</v>
      </c>
      <c r="D10" s="112">
        <v>0</v>
      </c>
      <c r="E10" s="112">
        <v>0</v>
      </c>
      <c r="F10" s="112">
        <v>0</v>
      </c>
      <c r="G10" s="112">
        <v>148465.66</v>
      </c>
      <c r="H10" s="112">
        <v>0</v>
      </c>
      <c r="I10" s="112">
        <v>0</v>
      </c>
      <c r="J10" s="112">
        <v>0</v>
      </c>
      <c r="K10" s="112">
        <v>0</v>
      </c>
    </row>
    <row r="11" spans="1:11">
      <c r="A11" s="105"/>
      <c r="B11" s="113"/>
      <c r="C11" s="115"/>
      <c r="D11" s="115"/>
      <c r="E11" s="115"/>
      <c r="F11" s="115"/>
      <c r="G11" s="115"/>
      <c r="H11" s="115"/>
      <c r="I11" s="115"/>
      <c r="J11" s="33"/>
      <c r="K11" s="33"/>
    </row>
    <row r="12" spans="1:11">
      <c r="A12" s="105"/>
      <c r="B12" s="113"/>
      <c r="C12" s="115"/>
      <c r="D12" s="115"/>
      <c r="E12" s="115"/>
      <c r="F12" s="115"/>
      <c r="G12" s="115"/>
      <c r="H12" s="115"/>
      <c r="I12" s="115"/>
      <c r="J12" s="33"/>
      <c r="K12" s="33"/>
    </row>
    <row r="13" spans="1:11" ht="13.5" thickBot="1">
      <c r="A13" s="33" t="s">
        <v>42</v>
      </c>
      <c r="B13" s="116">
        <f>B6+B10</f>
        <v>545286.57000000007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3.5" thickTop="1">
      <c r="A14" s="122" t="s">
        <v>67</v>
      </c>
      <c r="B14" s="123">
        <v>0</v>
      </c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76FD0B-E974-480F-A9DC-3D0EE3E989CF}"/>
</file>

<file path=customXml/itemProps2.xml><?xml version="1.0" encoding="utf-8"?>
<ds:datastoreItem xmlns:ds="http://schemas.openxmlformats.org/officeDocument/2006/customXml" ds:itemID="{08834095-D837-43CD-90C2-A353D6E2350D}"/>
</file>

<file path=customXml/itemProps3.xml><?xml version="1.0" encoding="utf-8"?>
<ds:datastoreItem xmlns:ds="http://schemas.openxmlformats.org/officeDocument/2006/customXml" ds:itemID="{12E0EEBB-DE0C-42F1-9874-26437575B18E}"/>
</file>

<file path=customXml/itemProps4.xml><?xml version="1.0" encoding="utf-8"?>
<ds:datastoreItem xmlns:ds="http://schemas.openxmlformats.org/officeDocument/2006/customXml" ds:itemID="{302466B5-CD63-48E5-85FB-EBCCF0AAE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Ave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2015-12-23T17:57:01Z</cp:lastPrinted>
  <dcterms:created xsi:type="dcterms:W3CDTF">2003-11-18T20:14:12Z</dcterms:created>
  <dcterms:modified xsi:type="dcterms:W3CDTF">2019-03-29T14:52:55Z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