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30" yWindow="105" windowWidth="16980" windowHeight="11865" activeTab="4"/>
  </bookViews>
  <sheets>
    <sheet name="References" sheetId="2" r:id="rId1"/>
    <sheet name="Whitman DF Calc" sheetId="3" r:id="rId2"/>
    <sheet name="Proposed Rates" sheetId="4" r:id="rId3"/>
    <sheet name="Disposal Schedule" sheetId="6" r:id="rId4"/>
    <sheet name="Whitman Reg - Price Out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4" hidden="1">#REF!</definedName>
    <definedName name="_132Graph_h" hidden="1">#REF!</definedName>
    <definedName name="_ACT1" localSheetId="3">[4]Hidden!#REF!</definedName>
    <definedName name="_ACT1" localSheetId="4">[5]Hidden!#REF!</definedName>
    <definedName name="_ACT1">[6]Hidden!#REF!</definedName>
    <definedName name="_ACT2" localSheetId="3">[4]Hidden!#REF!</definedName>
    <definedName name="_ACT2" localSheetId="4">[5]Hidden!#REF!</definedName>
    <definedName name="_ACT2">[6]Hidden!#REF!</definedName>
    <definedName name="_ACT3" localSheetId="3">[4]Hidden!#REF!</definedName>
    <definedName name="_ACT3" localSheetId="4">[5]Hidden!#REF!</definedName>
    <definedName name="_ACT3">[6]Hidden!#REF!</definedName>
    <definedName name="_COS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4" hidden="1">#REF!</definedName>
    <definedName name="_Fill" hidden="1">#REF!</definedName>
    <definedName name="_xlnm._FilterDatabase" localSheetId="1" hidden="1">'Whitman DF Calc'!$A$1:$W$83</definedName>
    <definedName name="_Key1" localSheetId="4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4" hidden="1">#REF!</definedName>
    <definedName name="_max" hidden="1">#REF!</definedName>
    <definedName name="_Mon" localSheetId="4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4" hidden="1">#REF!</definedName>
    <definedName name="_Sort" hidden="1">#REF!</definedName>
    <definedName name="_Sort1" hidden="1">'[2]#REF'!$A$10:$Z$281</definedName>
    <definedName name="_sort3" hidden="1">[3]XXXXXX!$G$10:$J$11</definedName>
    <definedName name="ACCT" localSheetId="3">[4]Hidden!#REF!</definedName>
    <definedName name="ACCT" localSheetId="4">[5]Hidden!#REF!</definedName>
    <definedName name="ACCT">[6]Hidden!#REF!</definedName>
    <definedName name="ACCT.ConsolSum">[1]Hidden!$Q$11</definedName>
    <definedName name="ACT_CUR" localSheetId="3">[4]Hidden!#REF!</definedName>
    <definedName name="ACT_CUR" localSheetId="4">[5]Hidden!#REF!</definedName>
    <definedName name="ACT_CUR">[6]Hidden!#REF!</definedName>
    <definedName name="ACT_YTD" localSheetId="3">[4]Hidden!#REF!</definedName>
    <definedName name="ACT_YTD" localSheetId="4">[5]Hidden!#REF!</definedName>
    <definedName name="ACT_YTD">[6]Hidden!#REF!</definedName>
    <definedName name="AmountCount" localSheetId="3">#REF!</definedName>
    <definedName name="AmountCount" localSheetId="4">#REF!</definedName>
    <definedName name="AmountCount">#REF!</definedName>
    <definedName name="AmountCount1">#REF!</definedName>
    <definedName name="AmountTotal" localSheetId="4">#REF!</definedName>
    <definedName name="AmountTotal">#REF!</definedName>
    <definedName name="AmountTotal1">#REF!</definedName>
    <definedName name="BookRev" localSheetId="3">'[7]Pacific Regulated - Price Out'!$F$50</definedName>
    <definedName name="BookRev" localSheetId="4">'[7]Pacific Regulated - Price Out'!$F$50</definedName>
    <definedName name="BookRev">'[8]Pacific Regulated - Price Out'!$F$50</definedName>
    <definedName name="BookRev_com" localSheetId="3">'[7]Pacific Regulated - Price Out'!$F$214</definedName>
    <definedName name="BookRev_com" localSheetId="4">'[7]Pacific Regulated - Price Out'!$F$214</definedName>
    <definedName name="BookRev_com">'[8]Pacific Regulated - Price Out'!$F$214</definedName>
    <definedName name="BookRev_mfr" localSheetId="3">'[7]Pacific Regulated - Price Out'!$F$222</definedName>
    <definedName name="BookRev_mfr" localSheetId="4">'[7]Pacific Regulated - Price Out'!$F$222</definedName>
    <definedName name="BookRev_mfr">'[8]Pacific Regulated - Price Out'!$F$222</definedName>
    <definedName name="BookRev_ro" localSheetId="3">'[7]Pacific Regulated - Price Out'!$F$282</definedName>
    <definedName name="BookRev_ro" localSheetId="4">'[7]Pacific Regulated - Price Out'!$F$282</definedName>
    <definedName name="BookRev_ro">'[8]Pacific Regulated - Price Out'!$F$282</definedName>
    <definedName name="BookRev_rr" localSheetId="3">'[7]Pacific Regulated - Price Out'!$F$59</definedName>
    <definedName name="BookRev_rr" localSheetId="4">'[7]Pacific Regulated - Price Out'!$F$59</definedName>
    <definedName name="BookRev_rr">'[8]Pacific Regulated - Price Out'!$F$59</definedName>
    <definedName name="BookRev_yw" localSheetId="3">'[7]Pacific Regulated - Price Out'!$F$70</definedName>
    <definedName name="BookRev_yw" localSheetId="4">'[7]Pacific Regulated - Price Out'!$F$70</definedName>
    <definedName name="BookRev_yw">'[8]Pacific Regulated - Price Out'!$F$70</definedName>
    <definedName name="BREMAIR_COST_of_SERVICE_STUDY" localSheetId="3">#REF!</definedName>
    <definedName name="BREMAIR_COST_of_SERVICE_STUDY" localSheetId="4">#REF!</definedName>
    <definedName name="BREMAIR_COST_of_SERVICE_STUDY">#REF!</definedName>
    <definedName name="BUD_CUR" localSheetId="3">[4]Hidden!#REF!</definedName>
    <definedName name="BUD_CUR" localSheetId="4">[5]Hidden!#REF!</definedName>
    <definedName name="BUD_CUR">[6]Hidden!#REF!</definedName>
    <definedName name="BUD_YTD" localSheetId="3">[4]Hidden!#REF!</definedName>
    <definedName name="BUD_YTD" localSheetId="4">[5]Hidden!#REF!</definedName>
    <definedName name="BUD_YTD">[6]Hidden!#REF!</definedName>
    <definedName name="CalRecyTons" localSheetId="3">'[9]Recycl Tons, Commodity Value'!$L$23</definedName>
    <definedName name="CalRecyTons" localSheetId="4">'[9]Recycl Tons, Commodity Value'!$L$23</definedName>
    <definedName name="CalRecyTons">'[10]Recycl Tons, Commodity Value'!$L$23</definedName>
    <definedName name="CheckTotals" localSheetId="3">#REF!</definedName>
    <definedName name="CheckTotals" localSheetId="4">#REF!</definedName>
    <definedName name="CheckTotals">#REF!</definedName>
    <definedName name="colgroup">[1]Orientation!$G$6</definedName>
    <definedName name="colsegment">[1]Orientation!$F$6</definedName>
    <definedName name="CommlStaffPriceOut">'[11]Price Out-Reg EASTSIDE-Resi'!#REF!</definedName>
    <definedName name="CRCTable" localSheetId="3">#REF!</definedName>
    <definedName name="CRCTable" localSheetId="4">#REF!</definedName>
    <definedName name="CRCTable">#REF!</definedName>
    <definedName name="CRCTableOLD" localSheetId="4">#REF!</definedName>
    <definedName name="CRCTableOLD">#REF!</definedName>
    <definedName name="CriteriaType">[12]ControlPanel!$Z$2:$Z$5</definedName>
    <definedName name="CurrentMonth">'[13]38000 Other Rev'!$H$8</definedName>
    <definedName name="Cutomers" localSheetId="3">#REF!</definedName>
    <definedName name="Cutomers" localSheetId="4">#REF!</definedName>
    <definedName name="Cutomers">#REF!</definedName>
    <definedName name="_xlnm.Database" localSheetId="4">#REF!</definedName>
    <definedName name="_xlnm.Database">#REF!</definedName>
    <definedName name="Database1" localSheetId="4">#REF!</definedName>
    <definedName name="Database1">#REF!</definedName>
    <definedName name="DateFrom">'[13]38000 Other Rev'!$G$12</definedName>
    <definedName name="DateTo">'[13]38000 Other Rev'!$G$13</definedName>
    <definedName name="DBxStaffPriceOut">'[11]Price Out-Reg EASTSIDE-Resi'!#REF!</definedName>
    <definedName name="DEPT" localSheetId="3">[4]Hidden!#REF!</definedName>
    <definedName name="DEPT" localSheetId="4">[5]Hidden!#REF!</definedName>
    <definedName name="DEPT">[6]Hidden!#REF!</definedName>
    <definedName name="Dist">[14]Data!$E$3</definedName>
    <definedName name="District" localSheetId="3">'[15]Vashon BS'!#REF!</definedName>
    <definedName name="District" localSheetId="4">#REF!</definedName>
    <definedName name="District">'[16]Vashon BS'!#REF!</definedName>
    <definedName name="DistrictNum" localSheetId="3">#REF!</definedName>
    <definedName name="DistrictNum" localSheetId="4">#REF!</definedName>
    <definedName name="DistrictNum">#REF!</definedName>
    <definedName name="dOG" localSheetId="3">#REF!</definedName>
    <definedName name="dOG">#REF!</definedName>
    <definedName name="drlFilter">[1]Settings!$D$27</definedName>
    <definedName name="End" localSheetId="3">#REF!</definedName>
    <definedName name="End" localSheetId="4">#REF!</definedName>
    <definedName name="End">'[17]IS-2120'!#REF!</definedName>
    <definedName name="EntrieShownLimit">'[13]38000 Other Rev'!$D$6</definedName>
    <definedName name="ExcludeIC" localSheetId="3">'[13]2025 BS'!#REF!</definedName>
    <definedName name="ExcludeIC" localSheetId="4">#REF!</definedName>
    <definedName name="ExcludeIC">'[16]Vashon BS'!#REF!</definedName>
    <definedName name="EXT">#REF!</definedName>
    <definedName name="FBTable" localSheetId="3">#REF!</definedName>
    <definedName name="FBTable" localSheetId="4">#REF!</definedName>
    <definedName name="FBTable">#REF!</definedName>
    <definedName name="FBTableOld" localSheetId="4">#REF!</definedName>
    <definedName name="FBTableOld">#REF!</definedName>
    <definedName name="filter">[1]Settings!$B$14:$H$25</definedName>
    <definedName name="FundsApprPend" localSheetId="4">[14]Data!#REF!</definedName>
    <definedName name="FundsApprPend">[14]Data!#REF!</definedName>
    <definedName name="FundsBudUnbud" localSheetId="4">[14]Data!#REF!</definedName>
    <definedName name="FundsBudUnbud">[14]Data!#REF!</definedName>
    <definedName name="GLMappingStart" localSheetId="3">#REF!</definedName>
    <definedName name="GLMappingStart" localSheetId="4">#REF!</definedName>
    <definedName name="GLMappingStart">#REF!</definedName>
    <definedName name="GLMappingStart1">#REF!</definedName>
    <definedName name="Import_Range" localSheetId="4">[14]Data!#REF!</definedName>
    <definedName name="Import_Range">[14]Data!#REF!</definedName>
    <definedName name="IncomeStmnt" localSheetId="4">#REF!</definedName>
    <definedName name="IncomeStmnt">#REF!</definedName>
    <definedName name="INPUT" localSheetId="3">#REF!</definedName>
    <definedName name="INPUT" localSheetId="4">#REF!</definedName>
    <definedName name="INPUT">#REF!</definedName>
    <definedName name="Insurance" localSheetId="4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4">[14]Invoice_Drill!#REF!</definedName>
    <definedName name="Invoice_Start">[14]Invoice_Drill!#REF!</definedName>
    <definedName name="JEDetail" localSheetId="4">#REF!</definedName>
    <definedName name="JEDetail">#REF!</definedName>
    <definedName name="JEDetail1" localSheetId="4">#REF!</definedName>
    <definedName name="JEDetail1">#REF!</definedName>
    <definedName name="JEType" localSheetId="4">#REF!</definedName>
    <definedName name="JEType">#REF!</definedName>
    <definedName name="JEType1">#REF!</definedName>
    <definedName name="lblBillAreaStatus" localSheetId="4">#REF!</definedName>
    <definedName name="lblBillAreaStatus">#REF!</definedName>
    <definedName name="lblBillCycleStatus" localSheetId="4">#REF!</definedName>
    <definedName name="lblBillCycleStatus">#REF!</definedName>
    <definedName name="lblCategoryStatus" localSheetId="4">#REF!</definedName>
    <definedName name="lblCategoryStatus">#REF!</definedName>
    <definedName name="lblCompanyStatus" localSheetId="4">#REF!</definedName>
    <definedName name="lblCompanyStatus">#REF!</definedName>
    <definedName name="lblDatabaseStatus" localSheetId="4">#REF!</definedName>
    <definedName name="lblDatabaseStatus">#REF!</definedName>
    <definedName name="lblPullStatus" localSheetId="4">#REF!</definedName>
    <definedName name="lblPullStatus">#REF!</definedName>
    <definedName name="lllllllllllllllllllll" localSheetId="4">#REF!</definedName>
    <definedName name="lllllllllllllllllllll">#REF!</definedName>
    <definedName name="MainDataEnd" localSheetId="4">#REF!</definedName>
    <definedName name="MainDataEnd">#REF!</definedName>
    <definedName name="MainDataStart" localSheetId="4">#REF!</definedName>
    <definedName name="MainDataStart">#REF!</definedName>
    <definedName name="MapKeyStart" localSheetId="4">#REF!</definedName>
    <definedName name="MapKeyStart">#REF!</definedName>
    <definedName name="master_def" localSheetId="3">#REF!</definedName>
    <definedName name="master_def" localSheetId="4">#REF!</definedName>
    <definedName name="master_def">'[17]IS-2120'!#REF!</definedName>
    <definedName name="MATRIX">#REF!</definedName>
    <definedName name="MemoAttachment" localSheetId="3">#REF!</definedName>
    <definedName name="MemoAttachment" localSheetId="4">#REF!</definedName>
    <definedName name="MemoAttachment">#REF!</definedName>
    <definedName name="MetaSet">[1]Orientation!$C$22</definedName>
    <definedName name="MFStaffPriceOut">'[11]Price Out-Reg EASTSIDE-Resi'!#REF!</definedName>
    <definedName name="MonthList">'[14]Lookup Tables'!$A$1:$A$13</definedName>
    <definedName name="NewOnlyOrg">#N/A</definedName>
    <definedName name="nn">#REF!</definedName>
    <definedName name="NOTES" localSheetId="3">#REF!</definedName>
    <definedName name="NOTES" localSheetId="4">#REF!</definedName>
    <definedName name="NOTES">#REF!</definedName>
    <definedName name="NR">#REF!</definedName>
    <definedName name="OfficerSalary">#N/A</definedName>
    <definedName name="OffsetAcctBil">[18]JEexport!$L$10</definedName>
    <definedName name="OffsetAcctPmt">[18]JEexport!$L$9</definedName>
    <definedName name="Org11_13">#N/A</definedName>
    <definedName name="Org7_10">#N/A</definedName>
    <definedName name="p" localSheetId="3">#REF!</definedName>
    <definedName name="p" localSheetId="4">#REF!</definedName>
    <definedName name="p">#REF!</definedName>
    <definedName name="PAGE_1" localSheetId="4">#REF!</definedName>
    <definedName name="PAGE_1">#REF!</definedName>
    <definedName name="Page16">#REF!</definedName>
    <definedName name="Page17">#REF!</definedName>
    <definedName name="Page18">#REF!</definedName>
    <definedName name="Page7a">#REF!</definedName>
    <definedName name="pBatchID" localSheetId="4">#REF!</definedName>
    <definedName name="pBatchID">#REF!</definedName>
    <definedName name="pBillArea" localSheetId="4">#REF!</definedName>
    <definedName name="pBillArea">#REF!</definedName>
    <definedName name="pBillCycle" localSheetId="4">#REF!</definedName>
    <definedName name="pBillCycle">#REF!</definedName>
    <definedName name="pCategory" localSheetId="4">#REF!</definedName>
    <definedName name="pCategory">#REF!</definedName>
    <definedName name="pCompany" localSheetId="4">#REF!</definedName>
    <definedName name="pCompany">#REF!</definedName>
    <definedName name="pCustomerNumber" localSheetId="4">#REF!</definedName>
    <definedName name="pCustomerNumber">#REF!</definedName>
    <definedName name="pDatabase" localSheetId="4">#REF!</definedName>
    <definedName name="pDatabase">#REF!</definedName>
    <definedName name="pEndPostDate" localSheetId="4">#REF!</definedName>
    <definedName name="pEndPostDate">#REF!</definedName>
    <definedName name="Period" localSheetId="4">#REF!</definedName>
    <definedName name="Period">#REF!</definedName>
    <definedName name="pMonth" localSheetId="4">#REF!</definedName>
    <definedName name="pMonth">#REF!</definedName>
    <definedName name="pOnlyShowLastTranx" localSheetId="4">#REF!</definedName>
    <definedName name="pOnlyShowLastTranx">#REF!</definedName>
    <definedName name="primtbl">[1]Orientation!$C$23</definedName>
    <definedName name="_xlnm.Print_Area" localSheetId="3">'Disposal Schedule'!$A$1:$H$33</definedName>
    <definedName name="_xlnm.Print_Area" localSheetId="2">'Proposed Rates'!$A$1:$D$87</definedName>
    <definedName name="_xlnm.Print_Area" localSheetId="1">'Whitman DF Calc'!$A$1:$W$102</definedName>
    <definedName name="_xlnm.Print_Area" localSheetId="4">'Whitman Reg - Price Out'!$A$1:$P$174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1" localSheetId="4">#REF!</definedName>
    <definedName name="Print_Area1">#REF!</definedName>
    <definedName name="Print_Area2" localSheetId="4">#REF!</definedName>
    <definedName name="Print_Area2">#REF!</definedName>
    <definedName name="Print_Area3" localSheetId="4">#REF!</definedName>
    <definedName name="Print_Area3">#REF!</definedName>
    <definedName name="Print_Area5" localSheetId="4">#REF!</definedName>
    <definedName name="Print_Area5">#REF!</definedName>
    <definedName name="_xlnm.Print_Titles" localSheetId="2">'Proposed Rates'!$1:$5</definedName>
    <definedName name="_xlnm.Print_Titles" localSheetId="1">'Whitman DF Calc'!$1:$5</definedName>
    <definedName name="Print1" localSheetId="3">#REF!</definedName>
    <definedName name="Print1" localSheetId="4">#REF!</definedName>
    <definedName name="Print1">#REF!</definedName>
    <definedName name="Print2" localSheetId="4">#REF!</definedName>
    <definedName name="Print2">#REF!</definedName>
    <definedName name="Print5" localSheetId="4">#REF!</definedName>
    <definedName name="Print5">#REF!</definedName>
    <definedName name="ProRev" localSheetId="3">'[7]Pacific Regulated - Price Out'!$M$49</definedName>
    <definedName name="ProRev" localSheetId="4">'[7]Pacific Regulated - Price Out'!$M$49</definedName>
    <definedName name="ProRev">'[8]Pacific Regulated - Price Out'!$M$49</definedName>
    <definedName name="ProRev_com" localSheetId="3">'[7]Pacific Regulated - Price Out'!$M$213</definedName>
    <definedName name="ProRev_com" localSheetId="4">'[7]Pacific Regulated - Price Out'!$M$213</definedName>
    <definedName name="ProRev_com">'[8]Pacific Regulated - Price Out'!$M$213</definedName>
    <definedName name="ProRev_mfr" localSheetId="3">'[7]Pacific Regulated - Price Out'!$M$221</definedName>
    <definedName name="ProRev_mfr" localSheetId="4">'[7]Pacific Regulated - Price Out'!$M$221</definedName>
    <definedName name="ProRev_mfr">'[8]Pacific Regulated - Price Out'!$M$221</definedName>
    <definedName name="ProRev_ro" localSheetId="3">'[7]Pacific Regulated - Price Out'!$M$281</definedName>
    <definedName name="ProRev_ro" localSheetId="4">'[7]Pacific Regulated - Price Out'!$M$281</definedName>
    <definedName name="ProRev_ro">'[8]Pacific Regulated - Price Out'!$M$281</definedName>
    <definedName name="ProRev_rr" localSheetId="3">'[7]Pacific Regulated - Price Out'!$M$58</definedName>
    <definedName name="ProRev_rr" localSheetId="4">'[7]Pacific Regulated - Price Out'!$M$58</definedName>
    <definedName name="ProRev_rr">'[8]Pacific Regulated - Price Out'!$M$58</definedName>
    <definedName name="ProRev_yw" localSheetId="3">'[7]Pacific Regulated - Price Out'!$M$69</definedName>
    <definedName name="ProRev_yw" localSheetId="4">'[7]Pacific Regulated - Price Out'!$M$69</definedName>
    <definedName name="ProRev_yw">'[8]Pacific Regulated - Price Out'!$M$69</definedName>
    <definedName name="pServer" localSheetId="3">#REF!</definedName>
    <definedName name="pServer" localSheetId="4">#REF!</definedName>
    <definedName name="pServer">#REF!</definedName>
    <definedName name="pServiceCode" localSheetId="4">#REF!</definedName>
    <definedName name="pServiceCode">#REF!</definedName>
    <definedName name="pShowAllUnposted" localSheetId="4">#REF!</definedName>
    <definedName name="pShowAllUnposted">#REF!</definedName>
    <definedName name="pShowCustomerDetail" localSheetId="4">#REF!</definedName>
    <definedName name="pShowCustomerDetail">#REF!</definedName>
    <definedName name="pSortOption" localSheetId="4">#REF!</definedName>
    <definedName name="pSortOption">#REF!</definedName>
    <definedName name="pStartPostDate" localSheetId="4">#REF!</definedName>
    <definedName name="pStartPostDate">#REF!</definedName>
    <definedName name="pTransType" localSheetId="4">#REF!</definedName>
    <definedName name="pTransType">#REF!</definedName>
    <definedName name="RCW_81.04.080">#N/A</definedName>
    <definedName name="RecyDisposal">#N/A</definedName>
    <definedName name="Reg_Cust_Billed_Percent">'[19]Consolidated IS 2009 2010'!$AK$20</definedName>
    <definedName name="Reg_Cust_Percent">'[19]Consolidated IS 2009 2010'!$AC$20</definedName>
    <definedName name="Reg_Drive_Percent">'[19]Consolidated IS 2009 2010'!$AC$40</definedName>
    <definedName name="Reg_Haul_Rev_Percent">'[19]Consolidated IS 2009 2010'!$Z$18</definedName>
    <definedName name="Reg_Lab_Percent">'[19]Consolidated IS 2009 2010'!$AC$39</definedName>
    <definedName name="Reg_Steel_Cont_Percent">'[19]Consolidated IS 2009 2010'!$AE$120</definedName>
    <definedName name="RegulatedIS">'[19]2009 IS'!$A$12:$Q$655</definedName>
    <definedName name="RelatedSalary">#N/A</definedName>
    <definedName name="report_type">[1]Orientation!$C$24</definedName>
    <definedName name="ReportNames">[20]ControlPanel!$S$2:$S$16</definedName>
    <definedName name="ReportVersion">[1]Settings!$D$5</definedName>
    <definedName name="ReslStaffPriceOut">'[11]Price Out-Reg EASTSIDE-Resi'!#REF!</definedName>
    <definedName name="RetainedEarnings" localSheetId="3">#REF!</definedName>
    <definedName name="RetainedEarnings" localSheetId="4">#REF!</definedName>
    <definedName name="RetainedEarnings">#REF!</definedName>
    <definedName name="RevCust" localSheetId="3">[21]RevenuesCust!#REF!</definedName>
    <definedName name="RevCust" localSheetId="4">[22]RevenuesCust!#REF!</definedName>
    <definedName name="RevCust">[23]RevenuesCust!#REF!</definedName>
    <definedName name="RevCustomer" localSheetId="3">#REF!</definedName>
    <definedName name="RevCustomer" localSheetId="4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4">#REF!</definedName>
    <definedName name="sortcol">'[17]IS-2120'!#REF!</definedName>
    <definedName name="sSRCDate" localSheetId="3">'[24]Feb''12 FAR Data'!#REF!</definedName>
    <definedName name="sSRCDate" localSheetId="4">'[24]Feb''12 FAR Data'!#REF!</definedName>
    <definedName name="sSRCDate">'[25]Feb''12 FAR Data'!#REF!</definedName>
    <definedName name="Supplemental_filter">[1]Settings!$C$31</definedName>
    <definedName name="SWDisposal">#N/A</definedName>
    <definedName name="System" localSheetId="4">#REF!</definedName>
    <definedName name="System">[26]BS_Close!$V$8</definedName>
    <definedName name="TemplateEnd" localSheetId="3">#REF!</definedName>
    <definedName name="TemplateEnd" localSheetId="4">#REF!</definedName>
    <definedName name="TemplateEnd">#REF!</definedName>
    <definedName name="TemplateStart" localSheetId="4">#REF!</definedName>
    <definedName name="TemplateStart">#REF!</definedName>
    <definedName name="TheTable" localSheetId="4">#REF!</definedName>
    <definedName name="TheTable">#REF!</definedName>
    <definedName name="TheTableOLD" localSheetId="4">#REF!</definedName>
    <definedName name="TheTableOLD">#REF!</definedName>
    <definedName name="timeseries">[1]Orientation!$B$6:$C$13</definedName>
    <definedName name="Tons">#REF!</definedName>
    <definedName name="Total_Comm" localSheetId="3">'[9]Tariff Rate Sheet'!$L$214</definedName>
    <definedName name="Total_Comm" localSheetId="4">'[9]Tariff Rate Sheet'!$L$214</definedName>
    <definedName name="Total_Comm">'[10]Tariff Rate Sheet'!$L$214</definedName>
    <definedName name="Total_DB" localSheetId="3">'[9]Tariff Rate Sheet'!$L$278</definedName>
    <definedName name="Total_DB" localSheetId="4">'[9]Tariff Rate Sheet'!$L$278</definedName>
    <definedName name="Total_DB">'[10]Tariff Rate Sheet'!$L$278</definedName>
    <definedName name="Total_Resi" localSheetId="3">'[9]Tariff Rate Sheet'!$L$107</definedName>
    <definedName name="Total_Resi" localSheetId="4">'[9]Tariff Rate Sheet'!$L$107</definedName>
    <definedName name="Total_Resi">'[10]Tariff Rate Sheet'!$L$107</definedName>
    <definedName name="Transactions" localSheetId="3">#REF!</definedName>
    <definedName name="Transactions" localSheetId="4">#REF!</definedName>
    <definedName name="Transactions">#REF!</definedName>
    <definedName name="UnregulatedIS">'[19]2010 IS'!$A$12:$Q$654</definedName>
    <definedName name="Version" localSheetId="4">[14]Data!#REF!</definedName>
    <definedName name="Version">[14]Data!#REF!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hidden="1">{"Page1",#N/A,TRUE,"SUMM";"Page2",#N/A,TRUE,"Rev";"Page3",#N/A,TRUE,"Dir_Costs"}</definedName>
    <definedName name="WTable" localSheetId="4">#REF!</definedName>
    <definedName name="WTable">#REF!</definedName>
    <definedName name="WTableOld" localSheetId="4">#REF!</definedName>
    <definedName name="WTableOld">#REF!</definedName>
    <definedName name="ww">#REF!</definedName>
    <definedName name="xperiod">[1]Orientation!$G$15</definedName>
    <definedName name="xtabin" localSheetId="3">[4]Hidden!#REF!</definedName>
    <definedName name="xtabin" localSheetId="4">[5]Hidden!#REF!</definedName>
    <definedName name="xtabin">[6]Hidden!#REF!</definedName>
    <definedName name="xx" localSheetId="3">#REF!</definedName>
    <definedName name="xx" localSheetId="4">#REF!</definedName>
    <definedName name="xx">#REF!</definedName>
    <definedName name="xxx">#REF!</definedName>
    <definedName name="xxxx">#REF!</definedName>
    <definedName name="YearMonth" localSheetId="3">'[15]Vashon BS'!#REF!</definedName>
    <definedName name="YearMonth" localSheetId="4">#REF!</definedName>
    <definedName name="YearMonth">'[16]Vashon BS'!#REF!</definedName>
    <definedName name="YWMedWasteDisp">#N/A</definedName>
    <definedName name="yy" localSheetId="3">#REF!</definedName>
    <definedName name="yy" localSheetId="4">#REF!</definedName>
    <definedName name="yy">#REF!</definedName>
  </definedNames>
  <calcPr calcId="145621" calcMode="manual" concurrentManualCount="4"/>
</workbook>
</file>

<file path=xl/calcChain.xml><?xml version="1.0" encoding="utf-8"?>
<calcChain xmlns="http://schemas.openxmlformats.org/spreadsheetml/2006/main">
  <c r="K140" i="7" l="1"/>
  <c r="K139" i="7"/>
  <c r="B61" i="2" l="1"/>
  <c r="M31" i="3" l="1"/>
  <c r="M66" i="3"/>
  <c r="G66" i="3"/>
  <c r="E66" i="3"/>
  <c r="G75" i="3"/>
  <c r="M75" i="3"/>
  <c r="M46" i="3"/>
  <c r="G46" i="3"/>
  <c r="E46" i="3"/>
  <c r="M43" i="3"/>
  <c r="G43" i="3"/>
  <c r="E43" i="3"/>
  <c r="M26" i="3"/>
  <c r="G26" i="3"/>
  <c r="E26" i="3"/>
  <c r="D170" i="7" l="1"/>
  <c r="D163" i="7"/>
  <c r="O161" i="7"/>
  <c r="F152" i="7"/>
  <c r="G152" i="7" s="1"/>
  <c r="F149" i="7"/>
  <c r="G149" i="7" s="1"/>
  <c r="D158" i="7"/>
  <c r="F141" i="7"/>
  <c r="G141" i="7" s="1"/>
  <c r="F140" i="7"/>
  <c r="G140" i="7" s="1"/>
  <c r="F139" i="7"/>
  <c r="G139" i="7" s="1"/>
  <c r="P136" i="7"/>
  <c r="F134" i="7"/>
  <c r="G134" i="7" s="1"/>
  <c r="M134" i="7" s="1"/>
  <c r="M136" i="7" s="1"/>
  <c r="D136" i="7"/>
  <c r="F129" i="7"/>
  <c r="G129" i="7" s="1"/>
  <c r="F128" i="7"/>
  <c r="G128" i="7" s="1"/>
  <c r="F127" i="7"/>
  <c r="G127" i="7" s="1"/>
  <c r="F125" i="7"/>
  <c r="G125" i="7" s="1"/>
  <c r="F124" i="7"/>
  <c r="G124" i="7" s="1"/>
  <c r="F123" i="7"/>
  <c r="G123" i="7" s="1"/>
  <c r="F121" i="7"/>
  <c r="G121" i="7" s="1"/>
  <c r="F119" i="7"/>
  <c r="G119" i="7" s="1"/>
  <c r="F118" i="7"/>
  <c r="G118" i="7" s="1"/>
  <c r="F113" i="7"/>
  <c r="G113" i="7" s="1"/>
  <c r="G111" i="7"/>
  <c r="F111" i="7"/>
  <c r="F110" i="7"/>
  <c r="G110" i="7" s="1"/>
  <c r="F106" i="7"/>
  <c r="G106" i="7" s="1"/>
  <c r="D66" i="3" s="1"/>
  <c r="F66" i="3" s="1"/>
  <c r="F105" i="7"/>
  <c r="G105" i="7" s="1"/>
  <c r="D65" i="3" s="1"/>
  <c r="F104" i="7"/>
  <c r="G104" i="7" s="1"/>
  <c r="D75" i="3" s="1"/>
  <c r="F75" i="3" s="1"/>
  <c r="F102" i="7"/>
  <c r="G102" i="7" s="1"/>
  <c r="D73" i="3" s="1"/>
  <c r="F100" i="7"/>
  <c r="G100" i="7" s="1"/>
  <c r="D71" i="3" s="1"/>
  <c r="F96" i="7"/>
  <c r="G96" i="7" s="1"/>
  <c r="D68" i="3" s="1"/>
  <c r="F92" i="7"/>
  <c r="G92" i="7" s="1"/>
  <c r="D78" i="3" s="1"/>
  <c r="F87" i="7"/>
  <c r="G87" i="7" s="1"/>
  <c r="D62" i="3" s="1"/>
  <c r="G85" i="7"/>
  <c r="D60" i="3" s="1"/>
  <c r="F85" i="7"/>
  <c r="F79" i="7"/>
  <c r="G79" i="7" s="1"/>
  <c r="D55" i="3" s="1"/>
  <c r="G77" i="7"/>
  <c r="D53" i="3" s="1"/>
  <c r="F77" i="7"/>
  <c r="F76" i="7"/>
  <c r="G76" i="7" s="1"/>
  <c r="D52" i="3" s="1"/>
  <c r="F75" i="7"/>
  <c r="G75" i="7" s="1"/>
  <c r="D51" i="3" s="1"/>
  <c r="F74" i="7"/>
  <c r="G74" i="7" s="1"/>
  <c r="D50" i="3" s="1"/>
  <c r="F71" i="7"/>
  <c r="G71" i="7" s="1"/>
  <c r="D47" i="3" s="1"/>
  <c r="F67" i="7"/>
  <c r="G67" i="7" s="1"/>
  <c r="D43" i="3" s="1"/>
  <c r="F43" i="3" s="1"/>
  <c r="F63" i="7"/>
  <c r="G63" i="7" s="1"/>
  <c r="D39" i="3" s="1"/>
  <c r="F61" i="7"/>
  <c r="G61" i="7" s="1"/>
  <c r="D37" i="3" s="1"/>
  <c r="F59" i="7"/>
  <c r="G59" i="7" s="1"/>
  <c r="D35" i="3" s="1"/>
  <c r="F57" i="7"/>
  <c r="G57" i="7" s="1"/>
  <c r="D33" i="3" s="1"/>
  <c r="F56" i="7"/>
  <c r="G56" i="7" s="1"/>
  <c r="D32" i="3" s="1"/>
  <c r="F55" i="7"/>
  <c r="G55" i="7" s="1"/>
  <c r="D31" i="3" s="1"/>
  <c r="F54" i="7"/>
  <c r="G54" i="7" s="1"/>
  <c r="D30" i="3" s="1"/>
  <c r="F53" i="7"/>
  <c r="G53" i="7" s="1"/>
  <c r="D29" i="3" s="1"/>
  <c r="F52" i="7"/>
  <c r="G52" i="7" s="1"/>
  <c r="D28" i="3" s="1"/>
  <c r="F51" i="7"/>
  <c r="G51" i="7" s="1"/>
  <c r="D26" i="3" s="1"/>
  <c r="F26" i="3" s="1"/>
  <c r="F50" i="7"/>
  <c r="G50" i="7" s="1"/>
  <c r="D27" i="3" s="1"/>
  <c r="F49" i="7"/>
  <c r="G49" i="7" s="1"/>
  <c r="D25" i="3" s="1"/>
  <c r="D43" i="7"/>
  <c r="D38" i="7"/>
  <c r="I36" i="7"/>
  <c r="I35" i="7"/>
  <c r="I34" i="7"/>
  <c r="I33" i="7"/>
  <c r="I31" i="7"/>
  <c r="I30" i="7"/>
  <c r="I27" i="7"/>
  <c r="I26" i="7"/>
  <c r="I24" i="7"/>
  <c r="I22" i="7"/>
  <c r="I20" i="7"/>
  <c r="I18" i="7"/>
  <c r="I17" i="7"/>
  <c r="I14" i="7"/>
  <c r="I13" i="7"/>
  <c r="P26" i="3" l="1"/>
  <c r="H26" i="3"/>
  <c r="P66" i="3"/>
  <c r="H66" i="3"/>
  <c r="H75" i="3"/>
  <c r="P75" i="3"/>
  <c r="F19" i="7"/>
  <c r="G19" i="7" s="1"/>
  <c r="D13" i="3" s="1"/>
  <c r="F23" i="7"/>
  <c r="G23" i="7" s="1"/>
  <c r="D17" i="3" s="1"/>
  <c r="F27" i="7"/>
  <c r="G27" i="7" s="1"/>
  <c r="F29" i="7"/>
  <c r="G29" i="7" s="1"/>
  <c r="D23" i="3" s="1"/>
  <c r="J41" i="7"/>
  <c r="I62" i="7"/>
  <c r="F12" i="7"/>
  <c r="G12" i="7" s="1"/>
  <c r="D6" i="3" s="1"/>
  <c r="F20" i="7"/>
  <c r="G20" i="7" s="1"/>
  <c r="F22" i="7"/>
  <c r="G22" i="7" s="1"/>
  <c r="F24" i="7"/>
  <c r="G24" i="7" s="1"/>
  <c r="F26" i="7"/>
  <c r="G26" i="7" s="1"/>
  <c r="F28" i="7"/>
  <c r="G28" i="7" s="1"/>
  <c r="D22" i="3" s="1"/>
  <c r="F30" i="7"/>
  <c r="G30" i="7" s="1"/>
  <c r="M30" i="7" s="1"/>
  <c r="P30" i="7" s="1"/>
  <c r="F32" i="7"/>
  <c r="G32" i="7" s="1"/>
  <c r="F34" i="7"/>
  <c r="G34" i="7" s="1"/>
  <c r="M34" i="7" s="1"/>
  <c r="P34" i="7" s="1"/>
  <c r="F36" i="7"/>
  <c r="G36" i="7" s="1"/>
  <c r="M36" i="7" s="1"/>
  <c r="P36" i="7" s="1"/>
  <c r="F70" i="7"/>
  <c r="G70" i="7" s="1"/>
  <c r="D46" i="3" s="1"/>
  <c r="F46" i="3" s="1"/>
  <c r="F83" i="7"/>
  <c r="G83" i="7" s="1"/>
  <c r="D58" i="3" s="1"/>
  <c r="F103" i="7"/>
  <c r="G103" i="7" s="1"/>
  <c r="D74" i="3" s="1"/>
  <c r="F107" i="7"/>
  <c r="G107" i="7" s="1"/>
  <c r="D81" i="3" s="1"/>
  <c r="F109" i="7"/>
  <c r="G109" i="7" s="1"/>
  <c r="F114" i="7"/>
  <c r="G114" i="7" s="1"/>
  <c r="F117" i="7"/>
  <c r="G117" i="7" s="1"/>
  <c r="F120" i="7"/>
  <c r="G120" i="7" s="1"/>
  <c r="F153" i="7"/>
  <c r="G153" i="7" s="1"/>
  <c r="F21" i="7"/>
  <c r="G21" i="7" s="1"/>
  <c r="D15" i="3" s="1"/>
  <c r="F25" i="7"/>
  <c r="G25" i="7" s="1"/>
  <c r="D19" i="3" s="1"/>
  <c r="F31" i="7"/>
  <c r="G31" i="7" s="1"/>
  <c r="P43" i="3"/>
  <c r="H43" i="3"/>
  <c r="F148" i="7"/>
  <c r="G148" i="7" s="1"/>
  <c r="F33" i="7"/>
  <c r="G33" i="7" s="1"/>
  <c r="M33" i="7" s="1"/>
  <c r="P33" i="7" s="1"/>
  <c r="F35" i="7"/>
  <c r="G35" i="7" s="1"/>
  <c r="F66" i="7"/>
  <c r="G66" i="7" s="1"/>
  <c r="D42" i="3" s="1"/>
  <c r="F42" i="3" s="1"/>
  <c r="F81" i="7"/>
  <c r="G81" i="7" s="1"/>
  <c r="D57" i="3" s="1"/>
  <c r="F89" i="7"/>
  <c r="G89" i="7" s="1"/>
  <c r="D64" i="3" s="1"/>
  <c r="F115" i="7"/>
  <c r="G115" i="7" s="1"/>
  <c r="O15" i="7"/>
  <c r="O62" i="7"/>
  <c r="M31" i="7"/>
  <c r="P31" i="7" s="1"/>
  <c r="M35" i="7"/>
  <c r="P35" i="7" s="1"/>
  <c r="O32" i="7"/>
  <c r="I12" i="7"/>
  <c r="O12" i="7" s="1"/>
  <c r="I15" i="7"/>
  <c r="I16" i="7"/>
  <c r="O16" i="7" s="1"/>
  <c r="I19" i="7"/>
  <c r="O19" i="7" s="1"/>
  <c r="I21" i="7"/>
  <c r="O21" i="7" s="1"/>
  <c r="I23" i="7"/>
  <c r="O23" i="7" s="1"/>
  <c r="I25" i="7"/>
  <c r="O25" i="7" s="1"/>
  <c r="I28" i="7"/>
  <c r="M28" i="7" s="1"/>
  <c r="P28" i="7" s="1"/>
  <c r="I29" i="7"/>
  <c r="O29" i="7" s="1"/>
  <c r="I32" i="7"/>
  <c r="M32" i="7" s="1"/>
  <c r="P32" i="7" s="1"/>
  <c r="F13" i="7"/>
  <c r="G13" i="7" s="1"/>
  <c r="O13" i="7"/>
  <c r="F14" i="7"/>
  <c r="G14" i="7" s="1"/>
  <c r="O14" i="7"/>
  <c r="F15" i="7"/>
  <c r="G15" i="7" s="1"/>
  <c r="F16" i="7"/>
  <c r="G16" i="7" s="1"/>
  <c r="F17" i="7"/>
  <c r="G17" i="7" s="1"/>
  <c r="O17" i="7"/>
  <c r="F18" i="7"/>
  <c r="G18" i="7" s="1"/>
  <c r="O18" i="7"/>
  <c r="O20" i="7"/>
  <c r="O22" i="7"/>
  <c r="O24" i="7"/>
  <c r="O26" i="7"/>
  <c r="O27" i="7"/>
  <c r="O30" i="7"/>
  <c r="O31" i="7"/>
  <c r="O33" i="7"/>
  <c r="O34" i="7"/>
  <c r="O35" i="7"/>
  <c r="O36" i="7"/>
  <c r="F41" i="7"/>
  <c r="G41" i="7" s="1"/>
  <c r="D131" i="7"/>
  <c r="I58" i="7"/>
  <c r="O58" i="7" s="1"/>
  <c r="I60" i="7"/>
  <c r="O60" i="7" s="1"/>
  <c r="I105" i="7"/>
  <c r="O105" i="7" s="1"/>
  <c r="I104" i="7"/>
  <c r="I103" i="7"/>
  <c r="M103" i="7" s="1"/>
  <c r="P103" i="7" s="1"/>
  <c r="I102" i="7"/>
  <c r="I120" i="7"/>
  <c r="I119" i="7"/>
  <c r="I118" i="7"/>
  <c r="M118" i="7" s="1"/>
  <c r="P118" i="7" s="1"/>
  <c r="I117" i="7"/>
  <c r="I116" i="7"/>
  <c r="I115" i="7"/>
  <c r="I114" i="7"/>
  <c r="M114" i="7" s="1"/>
  <c r="P114" i="7" s="1"/>
  <c r="I113" i="7"/>
  <c r="I112" i="7"/>
  <c r="I111" i="7"/>
  <c r="I110" i="7"/>
  <c r="M110" i="7" s="1"/>
  <c r="P110" i="7" s="1"/>
  <c r="I109" i="7"/>
  <c r="I108" i="7"/>
  <c r="O108" i="7" s="1"/>
  <c r="I152" i="7"/>
  <c r="I148" i="7"/>
  <c r="I128" i="7"/>
  <c r="I124" i="7"/>
  <c r="I106" i="7"/>
  <c r="O106" i="7" s="1"/>
  <c r="I155" i="7"/>
  <c r="I151" i="7"/>
  <c r="I127" i="7"/>
  <c r="I123" i="7"/>
  <c r="I154" i="7"/>
  <c r="I150" i="7"/>
  <c r="I126" i="7"/>
  <c r="I122" i="7"/>
  <c r="I153" i="7"/>
  <c r="I149" i="7"/>
  <c r="I129" i="7"/>
  <c r="I125" i="7"/>
  <c r="I121" i="7"/>
  <c r="O121" i="7" s="1"/>
  <c r="I107" i="7"/>
  <c r="I100" i="7"/>
  <c r="I98" i="7"/>
  <c r="I96" i="7"/>
  <c r="M96" i="7" s="1"/>
  <c r="P96" i="7" s="1"/>
  <c r="I94" i="7"/>
  <c r="I92" i="7"/>
  <c r="I99" i="7"/>
  <c r="I95" i="7"/>
  <c r="I91" i="7"/>
  <c r="I89" i="7"/>
  <c r="M89" i="7" s="1"/>
  <c r="P89" i="7" s="1"/>
  <c r="I87" i="7"/>
  <c r="I85" i="7"/>
  <c r="I83" i="7"/>
  <c r="M83" i="7" s="1"/>
  <c r="P83" i="7" s="1"/>
  <c r="I81" i="7"/>
  <c r="I79" i="7"/>
  <c r="M79" i="7" s="1"/>
  <c r="P79" i="7" s="1"/>
  <c r="I77" i="7"/>
  <c r="M77" i="7" s="1"/>
  <c r="P77" i="7" s="1"/>
  <c r="I101" i="7"/>
  <c r="I97" i="7"/>
  <c r="I93" i="7"/>
  <c r="I90" i="7"/>
  <c r="I88" i="7"/>
  <c r="I86" i="7"/>
  <c r="I84" i="7"/>
  <c r="I82" i="7"/>
  <c r="O82" i="7" s="1"/>
  <c r="I80" i="7"/>
  <c r="I78" i="7"/>
  <c r="I76" i="7"/>
  <c r="O76" i="7" s="1"/>
  <c r="I75" i="7"/>
  <c r="O75" i="7" s="1"/>
  <c r="I74" i="7"/>
  <c r="O74" i="7" s="1"/>
  <c r="I73" i="7"/>
  <c r="O73" i="7" s="1"/>
  <c r="I72" i="7"/>
  <c r="O72" i="7" s="1"/>
  <c r="I71" i="7"/>
  <c r="O71" i="7" s="1"/>
  <c r="I70" i="7"/>
  <c r="O70" i="7" s="1"/>
  <c r="I69" i="7"/>
  <c r="O69" i="7" s="1"/>
  <c r="I68" i="7"/>
  <c r="O68" i="7" s="1"/>
  <c r="I67" i="7"/>
  <c r="O67" i="7" s="1"/>
  <c r="I66" i="7"/>
  <c r="O66" i="7" s="1"/>
  <c r="I65" i="7"/>
  <c r="O65" i="7" s="1"/>
  <c r="I64" i="7"/>
  <c r="O64" i="7" s="1"/>
  <c r="I63" i="7"/>
  <c r="O63" i="7" s="1"/>
  <c r="O140" i="7"/>
  <c r="K141" i="7"/>
  <c r="O141" i="7" s="1"/>
  <c r="O139" i="7"/>
  <c r="O41" i="7"/>
  <c r="O80" i="7"/>
  <c r="O84" i="7"/>
  <c r="M105" i="7"/>
  <c r="I57" i="7"/>
  <c r="M57" i="7" s="1"/>
  <c r="P57" i="7" s="1"/>
  <c r="I59" i="7"/>
  <c r="M59" i="7" s="1"/>
  <c r="P59" i="7" s="1"/>
  <c r="I61" i="7"/>
  <c r="M61" i="7" s="1"/>
  <c r="P61" i="7" s="1"/>
  <c r="F64" i="7"/>
  <c r="G64" i="7" s="1"/>
  <c r="F68" i="7"/>
  <c r="G68" i="7" s="1"/>
  <c r="F72" i="7"/>
  <c r="G72" i="7" s="1"/>
  <c r="M76" i="7"/>
  <c r="P76" i="7" s="1"/>
  <c r="M81" i="7"/>
  <c r="M85" i="7"/>
  <c r="P85" i="7" s="1"/>
  <c r="M92" i="7"/>
  <c r="M100" i="7"/>
  <c r="P100" i="7" s="1"/>
  <c r="K41" i="7"/>
  <c r="I49" i="7"/>
  <c r="O49" i="7" s="1"/>
  <c r="I50" i="7"/>
  <c r="O50" i="7" s="1"/>
  <c r="I51" i="7"/>
  <c r="O51" i="7" s="1"/>
  <c r="I52" i="7"/>
  <c r="O52" i="7" s="1"/>
  <c r="I53" i="7"/>
  <c r="O53" i="7" s="1"/>
  <c r="I54" i="7"/>
  <c r="O54" i="7" s="1"/>
  <c r="I55" i="7"/>
  <c r="O55" i="7" s="1"/>
  <c r="I56" i="7"/>
  <c r="O56" i="7" s="1"/>
  <c r="F58" i="7"/>
  <c r="G58" i="7" s="1"/>
  <c r="F60" i="7"/>
  <c r="G60" i="7" s="1"/>
  <c r="F62" i="7"/>
  <c r="G62" i="7" s="1"/>
  <c r="F65" i="7"/>
  <c r="G65" i="7" s="1"/>
  <c r="F69" i="7"/>
  <c r="G69" i="7" s="1"/>
  <c r="F73" i="7"/>
  <c r="G73" i="7" s="1"/>
  <c r="O78" i="7"/>
  <c r="O86" i="7"/>
  <c r="M87" i="7"/>
  <c r="P87" i="7" s="1"/>
  <c r="O77" i="7"/>
  <c r="O79" i="7"/>
  <c r="O81" i="7"/>
  <c r="O83" i="7"/>
  <c r="O85" i="7"/>
  <c r="O87" i="7"/>
  <c r="O89" i="7"/>
  <c r="O91" i="7"/>
  <c r="F94" i="7"/>
  <c r="G94" i="7" s="1"/>
  <c r="O95" i="7"/>
  <c r="F98" i="7"/>
  <c r="G98" i="7" s="1"/>
  <c r="O99" i="7"/>
  <c r="F108" i="7"/>
  <c r="G108" i="7" s="1"/>
  <c r="M108" i="7" s="1"/>
  <c r="P108" i="7" s="1"/>
  <c r="F112" i="7"/>
  <c r="G112" i="7" s="1"/>
  <c r="M112" i="7" s="1"/>
  <c r="P112" i="7" s="1"/>
  <c r="F116" i="7"/>
  <c r="G116" i="7" s="1"/>
  <c r="M116" i="7" s="1"/>
  <c r="P116" i="7" s="1"/>
  <c r="M120" i="7"/>
  <c r="O124" i="7"/>
  <c r="O148" i="7"/>
  <c r="M153" i="7"/>
  <c r="O155" i="7"/>
  <c r="P81" i="7"/>
  <c r="F91" i="7"/>
  <c r="G91" i="7" s="1"/>
  <c r="O92" i="7"/>
  <c r="P92" i="7"/>
  <c r="O96" i="7"/>
  <c r="O100" i="7"/>
  <c r="O103" i="7"/>
  <c r="M106" i="7"/>
  <c r="P106" i="7" s="1"/>
  <c r="O109" i="7"/>
  <c r="O113" i="7"/>
  <c r="O117" i="7"/>
  <c r="O123" i="7"/>
  <c r="O126" i="7"/>
  <c r="M129" i="7"/>
  <c r="P129" i="7" s="1"/>
  <c r="M140" i="7"/>
  <c r="O150" i="7"/>
  <c r="O152" i="7"/>
  <c r="O88" i="7"/>
  <c r="O90" i="7"/>
  <c r="O93" i="7"/>
  <c r="O97" i="7"/>
  <c r="O101" i="7"/>
  <c r="O102" i="7"/>
  <c r="M107" i="7"/>
  <c r="P107" i="7" s="1"/>
  <c r="M109" i="7"/>
  <c r="P109" i="7" s="1"/>
  <c r="M111" i="7"/>
  <c r="P111" i="7" s="1"/>
  <c r="M113" i="7"/>
  <c r="P113" i="7" s="1"/>
  <c r="M115" i="7"/>
  <c r="P115" i="7" s="1"/>
  <c r="M117" i="7"/>
  <c r="P117" i="7" s="1"/>
  <c r="M119" i="7"/>
  <c r="P119" i="7" s="1"/>
  <c r="O128" i="7"/>
  <c r="O154" i="7"/>
  <c r="F78" i="7"/>
  <c r="G78" i="7" s="1"/>
  <c r="F80" i="7"/>
  <c r="G80" i="7" s="1"/>
  <c r="F82" i="7"/>
  <c r="G82" i="7" s="1"/>
  <c r="M82" i="7" s="1"/>
  <c r="P82" i="7" s="1"/>
  <c r="F84" i="7"/>
  <c r="G84" i="7" s="1"/>
  <c r="F86" i="7"/>
  <c r="G86" i="7" s="1"/>
  <c r="F88" i="7"/>
  <c r="G88" i="7" s="1"/>
  <c r="F90" i="7"/>
  <c r="G90" i="7" s="1"/>
  <c r="O94" i="7"/>
  <c r="O98" i="7"/>
  <c r="M102" i="7"/>
  <c r="P102" i="7" s="1"/>
  <c r="O122" i="7"/>
  <c r="M125" i="7"/>
  <c r="P125" i="7" s="1"/>
  <c r="O127" i="7"/>
  <c r="M149" i="7"/>
  <c r="P149" i="7" s="1"/>
  <c r="O151" i="7"/>
  <c r="F93" i="7"/>
  <c r="G93" i="7" s="1"/>
  <c r="F95" i="7"/>
  <c r="G95" i="7" s="1"/>
  <c r="F97" i="7"/>
  <c r="G97" i="7" s="1"/>
  <c r="M97" i="7" s="1"/>
  <c r="P97" i="7" s="1"/>
  <c r="F99" i="7"/>
  <c r="G99" i="7" s="1"/>
  <c r="F101" i="7"/>
  <c r="G101" i="7" s="1"/>
  <c r="P105" i="7"/>
  <c r="O111" i="7"/>
  <c r="O115" i="7"/>
  <c r="O119" i="7"/>
  <c r="F122" i="7"/>
  <c r="G122" i="7" s="1"/>
  <c r="M122" i="7" s="1"/>
  <c r="P122" i="7" s="1"/>
  <c r="F126" i="7"/>
  <c r="G126" i="7" s="1"/>
  <c r="M126" i="7" s="1"/>
  <c r="P126" i="7" s="1"/>
  <c r="G136" i="7"/>
  <c r="F150" i="7"/>
  <c r="G150" i="7" s="1"/>
  <c r="M150" i="7" s="1"/>
  <c r="F154" i="7"/>
  <c r="G154" i="7" s="1"/>
  <c r="M154" i="7" s="1"/>
  <c r="F161" i="7"/>
  <c r="G161" i="7" s="1"/>
  <c r="M161" i="7" s="1"/>
  <c r="O107" i="7"/>
  <c r="O112" i="7"/>
  <c r="O116" i="7"/>
  <c r="O120" i="7"/>
  <c r="P120" i="7"/>
  <c r="M123" i="7"/>
  <c r="P123" i="7" s="1"/>
  <c r="O125" i="7"/>
  <c r="M127" i="7"/>
  <c r="P127" i="7" s="1"/>
  <c r="O129" i="7"/>
  <c r="P140" i="7"/>
  <c r="P148" i="7"/>
  <c r="O149" i="7"/>
  <c r="F151" i="7"/>
  <c r="G151" i="7" s="1"/>
  <c r="M151" i="7" s="1"/>
  <c r="P151" i="7" s="1"/>
  <c r="O153" i="7"/>
  <c r="F155" i="7"/>
  <c r="G155" i="7" s="1"/>
  <c r="M155" i="7" s="1"/>
  <c r="P155" i="7" s="1"/>
  <c r="M124" i="7"/>
  <c r="P124" i="7" s="1"/>
  <c r="M128" i="7"/>
  <c r="P128" i="7" s="1"/>
  <c r="D143" i="7"/>
  <c r="M148" i="7"/>
  <c r="M152" i="7"/>
  <c r="P152" i="7" s="1"/>
  <c r="P153" i="7"/>
  <c r="O110" i="7"/>
  <c r="O114" i="7"/>
  <c r="O118" i="7"/>
  <c r="M121" i="7"/>
  <c r="P121" i="7" s="1"/>
  <c r="G143" i="7"/>
  <c r="M139" i="7"/>
  <c r="M141" i="7"/>
  <c r="P141" i="7" s="1"/>
  <c r="P150" i="7"/>
  <c r="P154" i="7"/>
  <c r="M86" i="7" l="1"/>
  <c r="P86" i="7" s="1"/>
  <c r="D61" i="3"/>
  <c r="G158" i="7"/>
  <c r="M88" i="7"/>
  <c r="P88" i="7" s="1"/>
  <c r="D63" i="3"/>
  <c r="M78" i="7"/>
  <c r="P78" i="7" s="1"/>
  <c r="D54" i="3"/>
  <c r="M91" i="7"/>
  <c r="P91" i="7" s="1"/>
  <c r="D76" i="3"/>
  <c r="M62" i="7"/>
  <c r="P62" i="7" s="1"/>
  <c r="D38" i="3"/>
  <c r="M16" i="7"/>
  <c r="P16" i="7" s="1"/>
  <c r="D10" i="3"/>
  <c r="M24" i="7"/>
  <c r="P24" i="7" s="1"/>
  <c r="D18" i="3"/>
  <c r="M101" i="7"/>
  <c r="P101" i="7" s="1"/>
  <c r="D72" i="3"/>
  <c r="M95" i="7"/>
  <c r="P95" i="7" s="1"/>
  <c r="D67" i="3"/>
  <c r="M94" i="7"/>
  <c r="P94" i="7" s="1"/>
  <c r="D80" i="3"/>
  <c r="M73" i="7"/>
  <c r="P73" i="7" s="1"/>
  <c r="D49" i="3"/>
  <c r="M60" i="7"/>
  <c r="P60" i="7" s="1"/>
  <c r="D36" i="3"/>
  <c r="M72" i="7"/>
  <c r="P72" i="7" s="1"/>
  <c r="D48" i="3"/>
  <c r="M18" i="7"/>
  <c r="P18" i="7" s="1"/>
  <c r="D12" i="3"/>
  <c r="M15" i="7"/>
  <c r="P15" i="7" s="1"/>
  <c r="D9" i="3"/>
  <c r="M13" i="7"/>
  <c r="P13" i="7" s="1"/>
  <c r="D7" i="3"/>
  <c r="M25" i="7"/>
  <c r="P25" i="7" s="1"/>
  <c r="M23" i="7"/>
  <c r="P23" i="7" s="1"/>
  <c r="P46" i="3"/>
  <c r="H46" i="3"/>
  <c r="M22" i="7"/>
  <c r="P22" i="7" s="1"/>
  <c r="D16" i="3"/>
  <c r="M80" i="7"/>
  <c r="P80" i="7" s="1"/>
  <c r="D56" i="3"/>
  <c r="M69" i="7"/>
  <c r="P69" i="7" s="1"/>
  <c r="D45" i="3"/>
  <c r="M58" i="7"/>
  <c r="P58" i="7" s="1"/>
  <c r="D34" i="3"/>
  <c r="M68" i="7"/>
  <c r="P68" i="7" s="1"/>
  <c r="D44" i="3"/>
  <c r="M20" i="7"/>
  <c r="P20" i="7" s="1"/>
  <c r="D14" i="3"/>
  <c r="M99" i="7"/>
  <c r="P99" i="7" s="1"/>
  <c r="D70" i="3"/>
  <c r="M93" i="7"/>
  <c r="P93" i="7" s="1"/>
  <c r="D79" i="3"/>
  <c r="M90" i="7"/>
  <c r="P90" i="7" s="1"/>
  <c r="D77" i="3"/>
  <c r="M84" i="7"/>
  <c r="P84" i="7" s="1"/>
  <c r="D59" i="3"/>
  <c r="M98" i="7"/>
  <c r="P98" i="7" s="1"/>
  <c r="D69" i="3"/>
  <c r="M65" i="7"/>
  <c r="P65" i="7" s="1"/>
  <c r="D41" i="3"/>
  <c r="M64" i="7"/>
  <c r="P64" i="7" s="1"/>
  <c r="D40" i="3"/>
  <c r="D172" i="7"/>
  <c r="M17" i="7"/>
  <c r="P17" i="7" s="1"/>
  <c r="D11" i="3"/>
  <c r="M14" i="7"/>
  <c r="P14" i="7" s="1"/>
  <c r="D8" i="3"/>
  <c r="M26" i="7"/>
  <c r="P26" i="7" s="1"/>
  <c r="D20" i="3"/>
  <c r="M27" i="7"/>
  <c r="P27" i="7" s="1"/>
  <c r="D21" i="3"/>
  <c r="M163" i="7"/>
  <c r="P161" i="7"/>
  <c r="P163" i="7" s="1"/>
  <c r="M53" i="7"/>
  <c r="P53" i="7" s="1"/>
  <c r="M49" i="7"/>
  <c r="M63" i="7"/>
  <c r="P63" i="7" s="1"/>
  <c r="M158" i="7"/>
  <c r="G38" i="7"/>
  <c r="M12" i="7"/>
  <c r="M71" i="7"/>
  <c r="P71" i="7" s="1"/>
  <c r="M56" i="7"/>
  <c r="P56" i="7" s="1"/>
  <c r="M52" i="7"/>
  <c r="P52" i="7" s="1"/>
  <c r="M67" i="7"/>
  <c r="P67" i="7" s="1"/>
  <c r="M19" i="7"/>
  <c r="P19" i="7" s="1"/>
  <c r="M75" i="7"/>
  <c r="P75" i="7" s="1"/>
  <c r="O57" i="7"/>
  <c r="P158" i="7"/>
  <c r="G131" i="7"/>
  <c r="M66" i="7"/>
  <c r="P66" i="7" s="1"/>
  <c r="M55" i="7"/>
  <c r="P55" i="7" s="1"/>
  <c r="M51" i="7"/>
  <c r="P51" i="7" s="1"/>
  <c r="O28" i="7"/>
  <c r="M21" i="7"/>
  <c r="P21" i="7" s="1"/>
  <c r="O61" i="7"/>
  <c r="O59" i="7"/>
  <c r="M70" i="7"/>
  <c r="P70" i="7" s="1"/>
  <c r="P139" i="7"/>
  <c r="P143" i="7" s="1"/>
  <c r="M143" i="7"/>
  <c r="O104" i="7"/>
  <c r="M104" i="7"/>
  <c r="P104" i="7" s="1"/>
  <c r="G43" i="7"/>
  <c r="M41" i="7"/>
  <c r="M54" i="7"/>
  <c r="P54" i="7" s="1"/>
  <c r="M50" i="7"/>
  <c r="P50" i="7" s="1"/>
  <c r="M29" i="7"/>
  <c r="P29" i="7" s="1"/>
  <c r="M74" i="7"/>
  <c r="P74" i="7" s="1"/>
  <c r="M38" i="7" l="1"/>
  <c r="P12" i="7"/>
  <c r="P38" i="7" s="1"/>
  <c r="M131" i="7"/>
  <c r="P49" i="7"/>
  <c r="P131" i="7" s="1"/>
  <c r="P41" i="7"/>
  <c r="P43" i="7" s="1"/>
  <c r="M43" i="7"/>
  <c r="M167" i="7" l="1"/>
  <c r="M168" i="7" s="1"/>
  <c r="M170" i="7" s="1"/>
  <c r="O2" i="7" s="1"/>
  <c r="P169" i="7"/>
  <c r="G40" i="3" l="1"/>
  <c r="E40" i="3"/>
  <c r="E41" i="3"/>
  <c r="E13" i="3"/>
  <c r="G13" i="3"/>
  <c r="G68" i="3" l="1"/>
  <c r="G64" i="3" l="1"/>
  <c r="E64" i="3"/>
  <c r="E63" i="3"/>
  <c r="G62" i="3"/>
  <c r="G60" i="3"/>
  <c r="G59" i="3"/>
  <c r="E62" i="3"/>
  <c r="E60" i="3"/>
  <c r="E59" i="3"/>
  <c r="G57" i="3"/>
  <c r="E57" i="3"/>
  <c r="E56" i="3"/>
  <c r="G50" i="3"/>
  <c r="E50" i="3"/>
  <c r="G45" i="3"/>
  <c r="E45" i="3"/>
  <c r="G32" i="3"/>
  <c r="G31" i="3"/>
  <c r="E32" i="3"/>
  <c r="E31" i="3"/>
  <c r="E30" i="3"/>
  <c r="G16" i="3"/>
  <c r="E16" i="3"/>
  <c r="G14" i="3"/>
  <c r="E14" i="3"/>
  <c r="E12" i="3"/>
  <c r="M18" i="3" l="1"/>
  <c r="M64" i="3" l="1"/>
  <c r="M63" i="3"/>
  <c r="M62" i="3"/>
  <c r="M60" i="3"/>
  <c r="M59" i="3"/>
  <c r="M57" i="3"/>
  <c r="M55" i="3"/>
  <c r="M53" i="3"/>
  <c r="M52" i="3"/>
  <c r="M51" i="3"/>
  <c r="M50" i="3"/>
  <c r="M48" i="3"/>
  <c r="M47" i="3"/>
  <c r="M45" i="3"/>
  <c r="M42" i="3"/>
  <c r="M41" i="3"/>
  <c r="M40" i="3"/>
  <c r="M38" i="3"/>
  <c r="M37" i="3"/>
  <c r="M34" i="3"/>
  <c r="M33" i="3"/>
  <c r="M32" i="3"/>
  <c r="M28" i="3"/>
  <c r="G92" i="3"/>
  <c r="G91" i="3"/>
  <c r="G90" i="3"/>
  <c r="G89" i="3"/>
  <c r="G88" i="3"/>
  <c r="G87" i="3"/>
  <c r="E88" i="3"/>
  <c r="F88" i="3" s="1"/>
  <c r="E87" i="3"/>
  <c r="F87" i="3" s="1"/>
  <c r="M7" i="3"/>
  <c r="M11" i="3"/>
  <c r="M10" i="3"/>
  <c r="M9" i="3"/>
  <c r="M8" i="3"/>
  <c r="M23" i="3"/>
  <c r="M20" i="3"/>
  <c r="M81" i="3"/>
  <c r="M79" i="3"/>
  <c r="M80" i="3"/>
  <c r="M78" i="3"/>
  <c r="M77" i="3"/>
  <c r="M76" i="3"/>
  <c r="M27" i="3"/>
  <c r="M25" i="3"/>
  <c r="M74" i="3"/>
  <c r="M70" i="3"/>
  <c r="M71" i="3"/>
  <c r="M72" i="3"/>
  <c r="M73" i="3"/>
  <c r="M69" i="3"/>
  <c r="M68" i="3"/>
  <c r="M67" i="3"/>
  <c r="M65" i="3"/>
  <c r="M61" i="3"/>
  <c r="M58" i="3"/>
  <c r="M56" i="3"/>
  <c r="M54" i="3"/>
  <c r="M49" i="3"/>
  <c r="M44" i="3"/>
  <c r="M39" i="3"/>
  <c r="M36" i="3"/>
  <c r="M35" i="3"/>
  <c r="M16" i="3"/>
  <c r="M14" i="3"/>
  <c r="M13" i="3"/>
  <c r="M30" i="3"/>
  <c r="M29" i="3"/>
  <c r="M22" i="3"/>
  <c r="M21" i="3"/>
  <c r="M19" i="3"/>
  <c r="M17" i="3"/>
  <c r="M15" i="3"/>
  <c r="M12" i="3"/>
  <c r="M6" i="3"/>
  <c r="E53" i="3"/>
  <c r="E52" i="3"/>
  <c r="E48" i="3"/>
  <c r="E47" i="3"/>
  <c r="E42" i="3"/>
  <c r="E38" i="3"/>
  <c r="E34" i="3"/>
  <c r="E28" i="3"/>
  <c r="E55" i="3"/>
  <c r="E51" i="3"/>
  <c r="E37" i="3"/>
  <c r="E33" i="3"/>
  <c r="E61" i="3"/>
  <c r="E58" i="3"/>
  <c r="E54" i="3"/>
  <c r="E49" i="3"/>
  <c r="E44" i="3"/>
  <c r="E39" i="3"/>
  <c r="E36" i="3"/>
  <c r="E25" i="3"/>
  <c r="E68" i="3"/>
  <c r="E67" i="3"/>
  <c r="E65" i="3"/>
  <c r="E74" i="3"/>
  <c r="E73" i="3"/>
  <c r="E72" i="3"/>
  <c r="E71" i="3"/>
  <c r="E70" i="3"/>
  <c r="E69" i="3"/>
  <c r="E81" i="3"/>
  <c r="E80" i="3"/>
  <c r="E79" i="3"/>
  <c r="E78" i="3"/>
  <c r="E77" i="3"/>
  <c r="E76" i="3"/>
  <c r="E35" i="3"/>
  <c r="E29" i="3"/>
  <c r="E27" i="3"/>
  <c r="G81" i="3"/>
  <c r="G80" i="3"/>
  <c r="G79" i="3"/>
  <c r="G78" i="3"/>
  <c r="G77" i="3"/>
  <c r="G76" i="3"/>
  <c r="G74" i="3"/>
  <c r="G73" i="3"/>
  <c r="G72" i="3"/>
  <c r="G71" i="3"/>
  <c r="G70" i="3"/>
  <c r="G69" i="3"/>
  <c r="G67" i="3"/>
  <c r="G65" i="3"/>
  <c r="G63" i="3"/>
  <c r="G61" i="3"/>
  <c r="G58" i="3"/>
  <c r="G56" i="3"/>
  <c r="G55" i="3"/>
  <c r="G54" i="3"/>
  <c r="G53" i="3"/>
  <c r="G52" i="3"/>
  <c r="G51" i="3"/>
  <c r="G49" i="3"/>
  <c r="G48" i="3"/>
  <c r="G47" i="3"/>
  <c r="G44" i="3"/>
  <c r="G42" i="3"/>
  <c r="G41" i="3"/>
  <c r="G39" i="3"/>
  <c r="G38" i="3"/>
  <c r="G37" i="3"/>
  <c r="G36" i="3"/>
  <c r="G35" i="3"/>
  <c r="G34" i="3"/>
  <c r="G33" i="3"/>
  <c r="G30" i="3"/>
  <c r="G29" i="3"/>
  <c r="G28" i="3"/>
  <c r="G27" i="3"/>
  <c r="G25" i="3"/>
  <c r="G23" i="3" l="1"/>
  <c r="G22" i="3"/>
  <c r="G21" i="3"/>
  <c r="G20" i="3"/>
  <c r="G19" i="3"/>
  <c r="G18" i="3"/>
  <c r="G17" i="3"/>
  <c r="G15" i="3"/>
  <c r="G12" i="3"/>
  <c r="G11" i="3"/>
  <c r="G10" i="3"/>
  <c r="G9" i="3"/>
  <c r="G8" i="3"/>
  <c r="G7" i="3"/>
  <c r="G6" i="3"/>
  <c r="E22" i="6" l="1"/>
  <c r="D22" i="6"/>
  <c r="C22" i="6"/>
  <c r="B22" i="6"/>
  <c r="F65" i="3"/>
  <c r="P65" i="3" s="1"/>
  <c r="F53" i="3"/>
  <c r="P53" i="3" s="1"/>
  <c r="P11" i="3"/>
  <c r="P8" i="3"/>
  <c r="P7" i="3"/>
  <c r="F31" i="3" l="1"/>
  <c r="P31" i="3" s="1"/>
  <c r="F28" i="3"/>
  <c r="P28" i="3" s="1"/>
  <c r="F40" i="3"/>
  <c r="P40" i="3" s="1"/>
  <c r="F33" i="3"/>
  <c r="P33" i="3" s="1"/>
  <c r="F41" i="3"/>
  <c r="P41" i="3" s="1"/>
  <c r="F47" i="3"/>
  <c r="P47" i="3" s="1"/>
  <c r="F55" i="3"/>
  <c r="P55" i="3" s="1"/>
  <c r="F70" i="3"/>
  <c r="P70" i="3" s="1"/>
  <c r="F72" i="3"/>
  <c r="P72" i="3" s="1"/>
  <c r="F74" i="3"/>
  <c r="F78" i="3"/>
  <c r="P78" i="3" s="1"/>
  <c r="F39" i="3"/>
  <c r="P39" i="3" s="1"/>
  <c r="F51" i="3"/>
  <c r="P51" i="3" s="1"/>
  <c r="P10" i="3"/>
  <c r="P12" i="3"/>
  <c r="F32" i="3"/>
  <c r="P32" i="3" s="1"/>
  <c r="F37" i="3"/>
  <c r="P37" i="3" s="1"/>
  <c r="F48" i="3"/>
  <c r="P48" i="3" s="1"/>
  <c r="F52" i="3"/>
  <c r="P52" i="3" s="1"/>
  <c r="F56" i="3"/>
  <c r="P56" i="3"/>
  <c r="F76" i="3"/>
  <c r="P76" i="3" s="1"/>
  <c r="F27" i="3"/>
  <c r="F34" i="3"/>
  <c r="P34" i="3" s="1"/>
  <c r="F38" i="3"/>
  <c r="P38" i="3" s="1"/>
  <c r="F44" i="3"/>
  <c r="P44" i="3" s="1"/>
  <c r="F49" i="3"/>
  <c r="P49" i="3" s="1"/>
  <c r="F69" i="3"/>
  <c r="P69" i="3" s="1"/>
  <c r="F71" i="3"/>
  <c r="P71" i="3" s="1"/>
  <c r="F73" i="3"/>
  <c r="P73" i="3" s="1"/>
  <c r="F79" i="3"/>
  <c r="P79" i="3" s="1"/>
  <c r="F36" i="3"/>
  <c r="P36" i="3" s="1"/>
  <c r="F45" i="3"/>
  <c r="P45" i="3" s="1"/>
  <c r="F50" i="3"/>
  <c r="P50" i="3" s="1"/>
  <c r="F54" i="3"/>
  <c r="P54" i="3" s="1"/>
  <c r="F67" i="3"/>
  <c r="P67" i="3" s="1"/>
  <c r="F77" i="3"/>
  <c r="P77" i="3" s="1"/>
  <c r="G22" i="6"/>
  <c r="H22" i="6"/>
  <c r="B60" i="2"/>
  <c r="F25" i="3"/>
  <c r="P25" i="3" s="1"/>
  <c r="F81" i="3"/>
  <c r="P81" i="3" s="1"/>
  <c r="F68" i="3" l="1"/>
  <c r="P68" i="3" s="1"/>
  <c r="F29" i="3"/>
  <c r="P29" i="3" s="1"/>
  <c r="F80" i="3"/>
  <c r="P80" i="3" s="1"/>
  <c r="P15" i="3"/>
  <c r="F60" i="3"/>
  <c r="P60" i="3"/>
  <c r="P62" i="3"/>
  <c r="P14" i="3"/>
  <c r="P9" i="3"/>
  <c r="P27" i="3"/>
  <c r="H27" i="3"/>
  <c r="F30" i="3"/>
  <c r="P30" i="3" s="1"/>
  <c r="P6" i="3"/>
  <c r="P57" i="3"/>
  <c r="F57" i="3"/>
  <c r="P13" i="3"/>
  <c r="P61" i="3"/>
  <c r="F61" i="3"/>
  <c r="F35" i="3"/>
  <c r="P35" i="3" s="1"/>
  <c r="P63" i="3"/>
  <c r="F63" i="3"/>
  <c r="P74" i="3"/>
  <c r="H74" i="3"/>
  <c r="P42" i="3"/>
  <c r="F64" i="3"/>
  <c r="P64" i="3"/>
  <c r="P16" i="3" l="1"/>
  <c r="P59" i="3"/>
  <c r="D24" i="3"/>
  <c r="F59" i="3"/>
  <c r="H59" i="3" s="1"/>
  <c r="F62" i="3"/>
  <c r="P58" i="3"/>
  <c r="F58" i="3"/>
  <c r="M92" i="3"/>
  <c r="M91" i="3"/>
  <c r="M90" i="3"/>
  <c r="M89" i="3"/>
  <c r="M88" i="3"/>
  <c r="M87" i="3"/>
  <c r="F92" i="3"/>
  <c r="F91" i="3"/>
  <c r="F90" i="3"/>
  <c r="F89" i="3"/>
  <c r="H90" i="3" l="1"/>
  <c r="H92" i="3"/>
  <c r="H89" i="3"/>
  <c r="H91" i="3"/>
  <c r="D99" i="3" l="1"/>
  <c r="D100" i="3" s="1"/>
  <c r="H53" i="3" l="1"/>
  <c r="B55" i="2" l="1"/>
  <c r="C54" i="2"/>
  <c r="G53" i="2"/>
  <c r="G56" i="2" s="1"/>
  <c r="G58" i="2" s="1"/>
  <c r="C53" i="2"/>
  <c r="B12" i="2"/>
  <c r="B11" i="2"/>
  <c r="H11" i="2" s="1"/>
  <c r="H10" i="2"/>
  <c r="B10" i="2"/>
  <c r="B9" i="2"/>
  <c r="B8" i="2"/>
  <c r="E8" i="2" s="1"/>
  <c r="E7" i="2"/>
  <c r="B7" i="2"/>
  <c r="H7" i="2" s="1"/>
  <c r="B6" i="2"/>
  <c r="C6" i="2" s="1"/>
  <c r="D55" i="2" l="1"/>
  <c r="S90" i="3" s="1"/>
  <c r="R90" i="3"/>
  <c r="F6" i="2"/>
  <c r="E23" i="3"/>
  <c r="E19" i="3"/>
  <c r="E22" i="3"/>
  <c r="E18" i="3"/>
  <c r="E21" i="3"/>
  <c r="E17" i="3"/>
  <c r="E20" i="3"/>
  <c r="E7" i="3"/>
  <c r="E10" i="3"/>
  <c r="E6" i="3"/>
  <c r="E15" i="3"/>
  <c r="E9" i="3"/>
  <c r="E8" i="3"/>
  <c r="E11" i="3"/>
  <c r="E6" i="2"/>
  <c r="H6" i="2"/>
  <c r="D6" i="2"/>
  <c r="F9" i="2"/>
  <c r="F7" i="2"/>
  <c r="G9" i="2"/>
  <c r="G8" i="2"/>
  <c r="H9" i="2"/>
  <c r="D12" i="2"/>
  <c r="F8" i="2"/>
  <c r="C7" i="2"/>
  <c r="G7" i="2"/>
  <c r="G6" i="2"/>
  <c r="D7" i="2"/>
  <c r="H8" i="2"/>
  <c r="G10" i="2"/>
  <c r="C32" i="4"/>
  <c r="D32" i="4" s="1"/>
  <c r="B58" i="2"/>
  <c r="B59" i="2" s="1"/>
  <c r="C55" i="2"/>
  <c r="C11" i="2"/>
  <c r="C10" i="2"/>
  <c r="E12" i="2"/>
  <c r="C8" i="2"/>
  <c r="D9" i="2"/>
  <c r="E10" i="2"/>
  <c r="F11" i="2"/>
  <c r="G12" i="2"/>
  <c r="C12" i="2"/>
  <c r="D11" i="2"/>
  <c r="C9" i="2"/>
  <c r="E11" i="2"/>
  <c r="F12" i="2"/>
  <c r="D8" i="2"/>
  <c r="E9" i="2"/>
  <c r="F10" i="2"/>
  <c r="G11" i="2"/>
  <c r="H12" i="2"/>
  <c r="D10" i="2"/>
  <c r="F13" i="3" l="1"/>
  <c r="H13" i="3" s="1"/>
  <c r="H87" i="3"/>
  <c r="H88" i="3"/>
  <c r="F19" i="3" l="1"/>
  <c r="H35" i="3"/>
  <c r="H49" i="3"/>
  <c r="H34" i="3"/>
  <c r="D82" i="3"/>
  <c r="D83" i="3" s="1"/>
  <c r="H19" i="3" l="1"/>
  <c r="P19" i="3"/>
  <c r="F10" i="3"/>
  <c r="H10" i="3" s="1"/>
  <c r="H57" i="3"/>
  <c r="H63" i="3"/>
  <c r="H60" i="3"/>
  <c r="H62" i="3"/>
  <c r="H64" i="3"/>
  <c r="H61" i="3"/>
  <c r="H58" i="3"/>
  <c r="H56" i="3"/>
  <c r="H28" i="3"/>
  <c r="H50" i="3"/>
  <c r="H48" i="3"/>
  <c r="H31" i="3"/>
  <c r="F7" i="3"/>
  <c r="H7" i="3" s="1"/>
  <c r="F22" i="3"/>
  <c r="F9" i="3"/>
  <c r="H9" i="3" s="1"/>
  <c r="H80" i="3"/>
  <c r="H77" i="3"/>
  <c r="F18" i="3"/>
  <c r="H54" i="3"/>
  <c r="F20" i="3"/>
  <c r="H33" i="3"/>
  <c r="H73" i="3"/>
  <c r="H76" i="3"/>
  <c r="H65" i="3"/>
  <c r="H41" i="3"/>
  <c r="H67" i="3"/>
  <c r="H32" i="3"/>
  <c r="H47" i="3"/>
  <c r="H29" i="3"/>
  <c r="H30" i="3"/>
  <c r="F21" i="3"/>
  <c r="H42" i="3"/>
  <c r="H36" i="3"/>
  <c r="H45" i="3"/>
  <c r="H44" i="3"/>
  <c r="H38" i="3"/>
  <c r="H71" i="3"/>
  <c r="H40" i="3"/>
  <c r="H39" i="3"/>
  <c r="H25" i="3"/>
  <c r="F16" i="3"/>
  <c r="H16" i="3" s="1"/>
  <c r="H51" i="3"/>
  <c r="F6" i="3"/>
  <c r="F12" i="3"/>
  <c r="H12" i="3" s="1"/>
  <c r="H72" i="3"/>
  <c r="F17" i="3"/>
  <c r="H37" i="3"/>
  <c r="H81" i="3"/>
  <c r="F14" i="3"/>
  <c r="H14" i="3" s="1"/>
  <c r="H55" i="3"/>
  <c r="H79" i="3"/>
  <c r="F23" i="3"/>
  <c r="H78" i="3"/>
  <c r="H69" i="3"/>
  <c r="F15" i="3"/>
  <c r="H15" i="3" s="1"/>
  <c r="H68" i="3"/>
  <c r="F11" i="3"/>
  <c r="H11" i="3" s="1"/>
  <c r="F8" i="3"/>
  <c r="H8" i="3" s="1"/>
  <c r="H70" i="3"/>
  <c r="H18" i="3" l="1"/>
  <c r="P18" i="3"/>
  <c r="H21" i="3"/>
  <c r="P21" i="3"/>
  <c r="H20" i="3"/>
  <c r="P20" i="3"/>
  <c r="H23" i="3"/>
  <c r="P23" i="3"/>
  <c r="H17" i="3"/>
  <c r="P17" i="3"/>
  <c r="H22" i="3"/>
  <c r="P22" i="3"/>
  <c r="F24" i="3"/>
  <c r="F82" i="3"/>
  <c r="H6" i="3"/>
  <c r="H52" i="3"/>
  <c r="H82" i="3" s="1"/>
  <c r="P82" i="3"/>
  <c r="H24" i="3" l="1"/>
  <c r="H83" i="3" s="1"/>
  <c r="D102" i="3" s="1"/>
  <c r="I66" i="3" s="1"/>
  <c r="P24" i="3"/>
  <c r="P83" i="3" s="1"/>
  <c r="F83" i="3"/>
  <c r="D101" i="3" s="1"/>
  <c r="J66" i="3" l="1"/>
  <c r="K66" i="3" s="1"/>
  <c r="L66" i="3" s="1"/>
  <c r="N66" i="3" s="1"/>
  <c r="X66" i="3"/>
  <c r="I46" i="3"/>
  <c r="J46" i="3" s="1"/>
  <c r="K46" i="3" s="1"/>
  <c r="I75" i="3"/>
  <c r="I26" i="3"/>
  <c r="J26" i="3" s="1"/>
  <c r="K26" i="3" s="1"/>
  <c r="I43" i="3"/>
  <c r="X43" i="3" s="1"/>
  <c r="I74" i="3"/>
  <c r="I59" i="3"/>
  <c r="X59" i="3" s="1"/>
  <c r="I27" i="3"/>
  <c r="X27" i="3" s="1"/>
  <c r="I53" i="3"/>
  <c r="X53" i="3" s="1"/>
  <c r="I87" i="3"/>
  <c r="I13" i="3"/>
  <c r="X13" i="3" s="1"/>
  <c r="I14" i="3"/>
  <c r="X14" i="3" s="1"/>
  <c r="I69" i="3"/>
  <c r="X69" i="3" s="1"/>
  <c r="I28" i="3"/>
  <c r="X28" i="3" s="1"/>
  <c r="I38" i="3"/>
  <c r="X38" i="3" s="1"/>
  <c r="I12" i="3"/>
  <c r="X12" i="3" s="1"/>
  <c r="I62" i="3"/>
  <c r="I34" i="3"/>
  <c r="X34" i="3" s="1"/>
  <c r="I81" i="3"/>
  <c r="X81" i="3" s="1"/>
  <c r="I31" i="3"/>
  <c r="X31" i="3" s="1"/>
  <c r="I44" i="3"/>
  <c r="X44" i="3" s="1"/>
  <c r="I54" i="3"/>
  <c r="X54" i="3" s="1"/>
  <c r="I55" i="3"/>
  <c r="X55" i="3" s="1"/>
  <c r="I41" i="3"/>
  <c r="X41" i="3" s="1"/>
  <c r="I10" i="3"/>
  <c r="X10" i="3" s="1"/>
  <c r="I72" i="3"/>
  <c r="X72" i="3" s="1"/>
  <c r="I67" i="3"/>
  <c r="X67" i="3" s="1"/>
  <c r="I37" i="3"/>
  <c r="X37" i="3" s="1"/>
  <c r="I42" i="3"/>
  <c r="X42" i="3" s="1"/>
  <c r="I60" i="3"/>
  <c r="X60" i="3" s="1"/>
  <c r="I21" i="3"/>
  <c r="X21" i="3" s="1"/>
  <c r="I47" i="3"/>
  <c r="X47" i="3" s="1"/>
  <c r="I17" i="3"/>
  <c r="X17" i="3" s="1"/>
  <c r="I58" i="3"/>
  <c r="X58" i="3" s="1"/>
  <c r="I61" i="3"/>
  <c r="X61" i="3" s="1"/>
  <c r="I76" i="3"/>
  <c r="X76" i="3" s="1"/>
  <c r="I15" i="3"/>
  <c r="X15" i="3" s="1"/>
  <c r="I78" i="3"/>
  <c r="X78" i="3" s="1"/>
  <c r="I63" i="3"/>
  <c r="X63" i="3" s="1"/>
  <c r="I48" i="3"/>
  <c r="X48" i="3" s="1"/>
  <c r="I35" i="3"/>
  <c r="X35" i="3" s="1"/>
  <c r="I18" i="3"/>
  <c r="X18" i="3" s="1"/>
  <c r="I11" i="3"/>
  <c r="X11" i="3" s="1"/>
  <c r="I73" i="3"/>
  <c r="X73" i="3" s="1"/>
  <c r="I7" i="3"/>
  <c r="X7" i="3" s="1"/>
  <c r="I68" i="3"/>
  <c r="X68" i="3" s="1"/>
  <c r="I45" i="3"/>
  <c r="X45" i="3" s="1"/>
  <c r="I32" i="3"/>
  <c r="X32" i="3" s="1"/>
  <c r="I16" i="3"/>
  <c r="X16" i="3" s="1"/>
  <c r="I79" i="3"/>
  <c r="X79" i="3" s="1"/>
  <c r="I64" i="3"/>
  <c r="X64" i="3" s="1"/>
  <c r="I49" i="3"/>
  <c r="X49" i="3" s="1"/>
  <c r="I36" i="3"/>
  <c r="X36" i="3" s="1"/>
  <c r="I29" i="3"/>
  <c r="X29" i="3" s="1"/>
  <c r="I88" i="3"/>
  <c r="I6" i="3"/>
  <c r="I77" i="3"/>
  <c r="X77" i="3" s="1"/>
  <c r="I39" i="3"/>
  <c r="X39" i="3" s="1"/>
  <c r="I23" i="3"/>
  <c r="X23" i="3" s="1"/>
  <c r="I8" i="3"/>
  <c r="X8" i="3" s="1"/>
  <c r="I70" i="3"/>
  <c r="X70" i="3" s="1"/>
  <c r="I56" i="3"/>
  <c r="X56" i="3" s="1"/>
  <c r="I22" i="3"/>
  <c r="X22" i="3" s="1"/>
  <c r="I19" i="3"/>
  <c r="X19" i="3" s="1"/>
  <c r="I20" i="3"/>
  <c r="X20" i="3" s="1"/>
  <c r="I33" i="3"/>
  <c r="X33" i="3" s="1"/>
  <c r="I80" i="3"/>
  <c r="X80" i="3" s="1"/>
  <c r="I65" i="3"/>
  <c r="X65" i="3" s="1"/>
  <c r="I50" i="3"/>
  <c r="X50" i="3" s="1"/>
  <c r="I30" i="3"/>
  <c r="X30" i="3" s="1"/>
  <c r="I52" i="3"/>
  <c r="X52" i="3" s="1"/>
  <c r="I40" i="3"/>
  <c r="X40" i="3" s="1"/>
  <c r="I25" i="3"/>
  <c r="I9" i="3"/>
  <c r="X9" i="3" s="1"/>
  <c r="I71" i="3"/>
  <c r="X71" i="3" s="1"/>
  <c r="I57" i="3"/>
  <c r="X57" i="3" s="1"/>
  <c r="I51" i="3"/>
  <c r="X51" i="3" s="1"/>
  <c r="I90" i="3"/>
  <c r="J90" i="3" s="1"/>
  <c r="I92" i="3"/>
  <c r="J92" i="3" s="1"/>
  <c r="I89" i="3"/>
  <c r="J89" i="3" s="1"/>
  <c r="I91" i="3"/>
  <c r="J91" i="3" s="1"/>
  <c r="L46" i="3" l="1"/>
  <c r="N46" i="3" s="1"/>
  <c r="L26" i="3"/>
  <c r="N26" i="3" s="1"/>
  <c r="X46" i="3"/>
  <c r="S66" i="3"/>
  <c r="U66" i="3"/>
  <c r="V66" i="3" s="1"/>
  <c r="W66" i="3" s="1"/>
  <c r="Y66" i="3" s="1"/>
  <c r="J75" i="3"/>
  <c r="K75" i="3" s="1"/>
  <c r="L75" i="3" s="1"/>
  <c r="N75" i="3" s="1"/>
  <c r="X75" i="3"/>
  <c r="X26" i="3"/>
  <c r="J43" i="3"/>
  <c r="K43" i="3" s="1"/>
  <c r="J25" i="3"/>
  <c r="K25" i="3" s="1"/>
  <c r="L25" i="3" s="1"/>
  <c r="X25" i="3"/>
  <c r="J6" i="3"/>
  <c r="K6" i="3" s="1"/>
  <c r="L6" i="3" s="1"/>
  <c r="X6" i="3"/>
  <c r="J62" i="3"/>
  <c r="X62" i="3"/>
  <c r="J74" i="3"/>
  <c r="K74" i="3" s="1"/>
  <c r="L74" i="3" s="1"/>
  <c r="N74" i="3" s="1"/>
  <c r="X74" i="3"/>
  <c r="J87" i="3"/>
  <c r="K87" i="3" s="1"/>
  <c r="J88" i="3"/>
  <c r="K88" i="3" s="1"/>
  <c r="J49" i="3"/>
  <c r="K49" i="3" s="1"/>
  <c r="L49" i="3" s="1"/>
  <c r="J73" i="3"/>
  <c r="K73" i="3" s="1"/>
  <c r="J47" i="3"/>
  <c r="K47" i="3" s="1"/>
  <c r="J37" i="3"/>
  <c r="K37" i="3" s="1"/>
  <c r="J54" i="3"/>
  <c r="K54" i="3" s="1"/>
  <c r="L54" i="3" s="1"/>
  <c r="J81" i="3"/>
  <c r="K81" i="3" s="1"/>
  <c r="J38" i="3"/>
  <c r="K38" i="3" s="1"/>
  <c r="J13" i="3"/>
  <c r="K13" i="3" s="1"/>
  <c r="L13" i="3" s="1"/>
  <c r="N13" i="3" s="1"/>
  <c r="J59" i="3"/>
  <c r="K59" i="3" s="1"/>
  <c r="J52" i="3"/>
  <c r="K52" i="3" s="1"/>
  <c r="J48" i="3"/>
  <c r="K48" i="3" s="1"/>
  <c r="J65" i="3"/>
  <c r="K65" i="3" s="1"/>
  <c r="J22" i="3"/>
  <c r="K22" i="3" s="1"/>
  <c r="J23" i="3"/>
  <c r="K23" i="3" s="1"/>
  <c r="L23" i="3" s="1"/>
  <c r="J64" i="3"/>
  <c r="K64" i="3" s="1"/>
  <c r="J63" i="3"/>
  <c r="K63" i="3" s="1"/>
  <c r="J21" i="3"/>
  <c r="K21" i="3" s="1"/>
  <c r="L21" i="3" s="1"/>
  <c r="J67" i="3"/>
  <c r="K67" i="3" s="1"/>
  <c r="J41" i="3"/>
  <c r="K41" i="3" s="1"/>
  <c r="J44" i="3"/>
  <c r="K44" i="3" s="1"/>
  <c r="J34" i="3"/>
  <c r="K34" i="3" s="1"/>
  <c r="J28" i="3"/>
  <c r="K28" i="3" s="1"/>
  <c r="J9" i="3"/>
  <c r="K9" i="3" s="1"/>
  <c r="L9" i="3" s="1"/>
  <c r="J33" i="3"/>
  <c r="K33" i="3" s="1"/>
  <c r="J45" i="3"/>
  <c r="K45" i="3" s="1"/>
  <c r="L45" i="3" s="1"/>
  <c r="J61" i="3"/>
  <c r="K61" i="3" s="1"/>
  <c r="L61" i="3" s="1"/>
  <c r="J40" i="3"/>
  <c r="K40" i="3" s="1"/>
  <c r="L40" i="3" s="1"/>
  <c r="J80" i="3"/>
  <c r="K80" i="3" s="1"/>
  <c r="J56" i="3"/>
  <c r="K56" i="3" s="1"/>
  <c r="L56" i="3" s="1"/>
  <c r="J39" i="3"/>
  <c r="K39" i="3" s="1"/>
  <c r="L39" i="3" s="1"/>
  <c r="J29" i="3"/>
  <c r="K29" i="3" s="1"/>
  <c r="J79" i="3"/>
  <c r="K79" i="3" s="1"/>
  <c r="J68" i="3"/>
  <c r="K68" i="3" s="1"/>
  <c r="J18" i="3"/>
  <c r="K18" i="3" s="1"/>
  <c r="J78" i="3"/>
  <c r="K78" i="3" s="1"/>
  <c r="J58" i="3"/>
  <c r="K58" i="3" s="1"/>
  <c r="L58" i="3" s="1"/>
  <c r="J60" i="3"/>
  <c r="K60" i="3" s="1"/>
  <c r="J72" i="3"/>
  <c r="K72" i="3" s="1"/>
  <c r="L72" i="3" s="1"/>
  <c r="J55" i="3"/>
  <c r="K55" i="3" s="1"/>
  <c r="J31" i="3"/>
  <c r="K31" i="3" s="1"/>
  <c r="K62" i="3"/>
  <c r="L62" i="3" s="1"/>
  <c r="J69" i="3"/>
  <c r="K69" i="3" s="1"/>
  <c r="J53" i="3"/>
  <c r="K53" i="3" s="1"/>
  <c r="J50" i="3"/>
  <c r="K50" i="3" s="1"/>
  <c r="L50" i="3" s="1"/>
  <c r="J8" i="3"/>
  <c r="K8" i="3" s="1"/>
  <c r="L8" i="3" s="1"/>
  <c r="J32" i="3"/>
  <c r="K32" i="3" s="1"/>
  <c r="L32" i="3" s="1"/>
  <c r="J76" i="3"/>
  <c r="K76" i="3" s="1"/>
  <c r="J51" i="3"/>
  <c r="K51" i="3" s="1"/>
  <c r="J11" i="3"/>
  <c r="K11" i="3" s="1"/>
  <c r="L11" i="3" s="1"/>
  <c r="J57" i="3"/>
  <c r="K57" i="3" s="1"/>
  <c r="J30" i="3"/>
  <c r="K30" i="3" s="1"/>
  <c r="J20" i="3"/>
  <c r="K20" i="3" s="1"/>
  <c r="J71" i="3"/>
  <c r="K71" i="3" s="1"/>
  <c r="L71" i="3" s="1"/>
  <c r="J19" i="3"/>
  <c r="K19" i="3" s="1"/>
  <c r="L19" i="3" s="1"/>
  <c r="J70" i="3"/>
  <c r="K70" i="3" s="1"/>
  <c r="L70" i="3" s="1"/>
  <c r="J77" i="3"/>
  <c r="K77" i="3" s="1"/>
  <c r="J36" i="3"/>
  <c r="K36" i="3" s="1"/>
  <c r="J16" i="3"/>
  <c r="K16" i="3" s="1"/>
  <c r="J7" i="3"/>
  <c r="K7" i="3" s="1"/>
  <c r="L7" i="3" s="1"/>
  <c r="J35" i="3"/>
  <c r="K35" i="3" s="1"/>
  <c r="L35" i="3" s="1"/>
  <c r="J15" i="3"/>
  <c r="K15" i="3" s="1"/>
  <c r="L15" i="3" s="1"/>
  <c r="J17" i="3"/>
  <c r="K17" i="3" s="1"/>
  <c r="L17" i="3" s="1"/>
  <c r="J42" i="3"/>
  <c r="K42" i="3" s="1"/>
  <c r="J10" i="3"/>
  <c r="K10" i="3" s="1"/>
  <c r="L10" i="3" s="1"/>
  <c r="J12" i="3"/>
  <c r="K12" i="3" s="1"/>
  <c r="L12" i="3" s="1"/>
  <c r="J14" i="3"/>
  <c r="K14" i="3" s="1"/>
  <c r="J27" i="3"/>
  <c r="K27" i="3" s="1"/>
  <c r="I24" i="3"/>
  <c r="I82" i="3"/>
  <c r="N91" i="3"/>
  <c r="C68" i="4"/>
  <c r="L91" i="3"/>
  <c r="N89" i="3"/>
  <c r="C64" i="4"/>
  <c r="L89" i="3"/>
  <c r="N92" i="3"/>
  <c r="C69" i="4"/>
  <c r="L92" i="3"/>
  <c r="N90" i="3"/>
  <c r="C65" i="4"/>
  <c r="L90" i="3"/>
  <c r="S26" i="3" l="1"/>
  <c r="U26" i="3"/>
  <c r="V26" i="3" s="1"/>
  <c r="W26" i="3" s="1"/>
  <c r="Y26" i="3" s="1"/>
  <c r="S46" i="3"/>
  <c r="U46" i="3"/>
  <c r="V46" i="3" s="1"/>
  <c r="W46" i="3" s="1"/>
  <c r="Y46" i="3" s="1"/>
  <c r="L31" i="3"/>
  <c r="N31" i="3" s="1"/>
  <c r="S31" i="3" s="1"/>
  <c r="L43" i="3"/>
  <c r="N43" i="3" s="1"/>
  <c r="S43" i="3" s="1"/>
  <c r="U75" i="3"/>
  <c r="V75" i="3" s="1"/>
  <c r="W75" i="3" s="1"/>
  <c r="Y75" i="3" s="1"/>
  <c r="S75" i="3"/>
  <c r="L87" i="3"/>
  <c r="C15" i="4" s="1"/>
  <c r="D15" i="4" s="1"/>
  <c r="O87" i="3" s="1"/>
  <c r="N87" i="3"/>
  <c r="L88" i="3"/>
  <c r="C16" i="4" s="1"/>
  <c r="D16" i="4" s="1"/>
  <c r="O88" i="3" s="1"/>
  <c r="N88" i="3"/>
  <c r="U74" i="3"/>
  <c r="V74" i="3" s="1"/>
  <c r="W74" i="3" s="1"/>
  <c r="Y74" i="3" s="1"/>
  <c r="S74" i="3"/>
  <c r="L20" i="3"/>
  <c r="N20" i="3" s="1"/>
  <c r="N50" i="3"/>
  <c r="S50" i="3" s="1"/>
  <c r="L78" i="3"/>
  <c r="N78" i="3" s="1"/>
  <c r="N40" i="3"/>
  <c r="S40" i="3" s="1"/>
  <c r="L28" i="3"/>
  <c r="N28" i="3" s="1"/>
  <c r="C29" i="4"/>
  <c r="D29" i="4" s="1"/>
  <c r="C28" i="4"/>
  <c r="C27" i="4"/>
  <c r="L52" i="3"/>
  <c r="N52" i="3" s="1"/>
  <c r="L81" i="3"/>
  <c r="N81" i="3" s="1"/>
  <c r="L47" i="3"/>
  <c r="N47" i="3" s="1"/>
  <c r="L16" i="3"/>
  <c r="N16" i="3" s="1"/>
  <c r="S16" i="3" s="1"/>
  <c r="L27" i="3"/>
  <c r="N27" i="3" s="1"/>
  <c r="L36" i="3"/>
  <c r="N36" i="3" s="1"/>
  <c r="L30" i="3"/>
  <c r="N30" i="3" s="1"/>
  <c r="L53" i="3"/>
  <c r="N53" i="3" s="1"/>
  <c r="L29" i="3"/>
  <c r="L67" i="3"/>
  <c r="N67" i="3" s="1"/>
  <c r="L14" i="3"/>
  <c r="N14" i="3" s="1"/>
  <c r="C45" i="4"/>
  <c r="C53" i="4"/>
  <c r="C83" i="4"/>
  <c r="C75" i="4"/>
  <c r="C37" i="4"/>
  <c r="L77" i="3"/>
  <c r="N77" i="3" s="1"/>
  <c r="L57" i="3"/>
  <c r="N57" i="3" s="1"/>
  <c r="L69" i="3"/>
  <c r="N69" i="3" s="1"/>
  <c r="L18" i="3"/>
  <c r="N18" i="3" s="1"/>
  <c r="C84" i="4"/>
  <c r="D84" i="4" s="1"/>
  <c r="C54" i="4"/>
  <c r="C46" i="4"/>
  <c r="C38" i="4"/>
  <c r="C76" i="4"/>
  <c r="D76" i="4" s="1"/>
  <c r="L34" i="3"/>
  <c r="N34" i="3" s="1"/>
  <c r="L22" i="3"/>
  <c r="N22" i="3" s="1"/>
  <c r="L59" i="3"/>
  <c r="N59" i="3" s="1"/>
  <c r="S59" i="3" s="1"/>
  <c r="C79" i="4"/>
  <c r="C87" i="4"/>
  <c r="C41" i="4"/>
  <c r="D41" i="4" s="1"/>
  <c r="C49" i="4"/>
  <c r="C57" i="4"/>
  <c r="L73" i="3"/>
  <c r="N73" i="3" s="1"/>
  <c r="L76" i="3"/>
  <c r="N76" i="3" s="1"/>
  <c r="N32" i="3"/>
  <c r="S32" i="3" s="1"/>
  <c r="L55" i="3"/>
  <c r="N55" i="3" s="1"/>
  <c r="L33" i="3"/>
  <c r="N33" i="3" s="1"/>
  <c r="C73" i="4"/>
  <c r="C35" i="4"/>
  <c r="D35" i="4" s="1"/>
  <c r="O26" i="3" s="1"/>
  <c r="Q26" i="3" s="1"/>
  <c r="R26" i="3" s="1"/>
  <c r="C43" i="4"/>
  <c r="C51" i="4"/>
  <c r="C81" i="4"/>
  <c r="L42" i="3"/>
  <c r="N42" i="3" s="1"/>
  <c r="L51" i="3"/>
  <c r="N51" i="3" s="1"/>
  <c r="N62" i="3"/>
  <c r="L60" i="3"/>
  <c r="N60" i="3" s="1"/>
  <c r="U60" i="3" s="1"/>
  <c r="V60" i="3" s="1"/>
  <c r="W60" i="3" s="1"/>
  <c r="Y60" i="3" s="1"/>
  <c r="L68" i="3"/>
  <c r="N68" i="3" s="1"/>
  <c r="N45" i="3"/>
  <c r="S45" i="3" s="1"/>
  <c r="L44" i="3"/>
  <c r="N44" i="3" s="1"/>
  <c r="L63" i="3"/>
  <c r="N63" i="3" s="1"/>
  <c r="L65" i="3"/>
  <c r="N65" i="3" s="1"/>
  <c r="C78" i="4"/>
  <c r="C40" i="4"/>
  <c r="C48" i="4"/>
  <c r="C56" i="4"/>
  <c r="C86" i="4"/>
  <c r="L79" i="3"/>
  <c r="N79" i="3" s="1"/>
  <c r="L80" i="3"/>
  <c r="N80" i="3" s="1"/>
  <c r="L41" i="3"/>
  <c r="N41" i="3" s="1"/>
  <c r="L64" i="3"/>
  <c r="N64" i="3" s="1"/>
  <c r="L48" i="3"/>
  <c r="N48" i="3" s="1"/>
  <c r="L38" i="3"/>
  <c r="N38" i="3" s="1"/>
  <c r="L37" i="3"/>
  <c r="N37" i="3" s="1"/>
  <c r="C23" i="4"/>
  <c r="C22" i="4"/>
  <c r="N19" i="3"/>
  <c r="C14" i="4"/>
  <c r="D14" i="4" s="1"/>
  <c r="N11" i="3"/>
  <c r="N56" i="3"/>
  <c r="C62" i="4"/>
  <c r="D62" i="4" s="1"/>
  <c r="U13" i="3"/>
  <c r="V13" i="3" s="1"/>
  <c r="W13" i="3" s="1"/>
  <c r="Y13" i="3" s="1"/>
  <c r="S13" i="3"/>
  <c r="N49" i="3"/>
  <c r="C24" i="4"/>
  <c r="D24" i="4" s="1"/>
  <c r="N17" i="3"/>
  <c r="N71" i="3"/>
  <c r="N58" i="3"/>
  <c r="C66" i="4"/>
  <c r="D66" i="4" s="1"/>
  <c r="C18" i="4"/>
  <c r="D18" i="4" s="1"/>
  <c r="N15" i="3"/>
  <c r="N35" i="3"/>
  <c r="N23" i="3"/>
  <c r="N10" i="3"/>
  <c r="C13" i="4"/>
  <c r="D13" i="4" s="1"/>
  <c r="N12" i="3"/>
  <c r="C17" i="4"/>
  <c r="D17" i="4" s="1"/>
  <c r="C19" i="4"/>
  <c r="D19" i="4" s="1"/>
  <c r="O7" i="3" s="1"/>
  <c r="N7" i="3"/>
  <c r="N70" i="3"/>
  <c r="N8" i="3"/>
  <c r="C11" i="4"/>
  <c r="D11" i="4" s="1"/>
  <c r="N72" i="3"/>
  <c r="N39" i="3"/>
  <c r="D38" i="4"/>
  <c r="O43" i="3" s="1"/>
  <c r="Q43" i="3" s="1"/>
  <c r="R43" i="3" s="1"/>
  <c r="N61" i="3"/>
  <c r="C70" i="4"/>
  <c r="D70" i="4" s="1"/>
  <c r="O62" i="3" s="1"/>
  <c r="N9" i="3"/>
  <c r="C12" i="4"/>
  <c r="D12" i="4" s="1"/>
  <c r="C7" i="4"/>
  <c r="D7" i="4" s="1"/>
  <c r="N21" i="3"/>
  <c r="N54" i="3"/>
  <c r="D68" i="4"/>
  <c r="O91" i="3" s="1"/>
  <c r="D64" i="4"/>
  <c r="O89" i="3" s="1"/>
  <c r="D69" i="4"/>
  <c r="O66" i="3" s="1"/>
  <c r="Q66" i="3" s="1"/>
  <c r="R66" i="3" s="1"/>
  <c r="D65" i="4"/>
  <c r="O90" i="3" s="1"/>
  <c r="I83" i="3"/>
  <c r="N25" i="3"/>
  <c r="C10" i="4"/>
  <c r="D10" i="4" s="1"/>
  <c r="O6" i="3" s="1"/>
  <c r="Q6" i="3" s="1"/>
  <c r="R6" i="3" s="1"/>
  <c r="N6" i="3"/>
  <c r="T43" i="3" l="1"/>
  <c r="U43" i="3"/>
  <c r="T26" i="3"/>
  <c r="T66" i="3"/>
  <c r="O57" i="3"/>
  <c r="Q57" i="3" s="1"/>
  <c r="R57" i="3" s="1"/>
  <c r="O54" i="3"/>
  <c r="Q54" i="3" s="1"/>
  <c r="R54" i="3" s="1"/>
  <c r="O55" i="3"/>
  <c r="Q55" i="3" s="1"/>
  <c r="R55" i="3" s="1"/>
  <c r="O28" i="3"/>
  <c r="Q28" i="3" s="1"/>
  <c r="R28" i="3" s="1"/>
  <c r="O27" i="3"/>
  <c r="Q27" i="3" s="1"/>
  <c r="R27" i="3" s="1"/>
  <c r="O25" i="3"/>
  <c r="Q25" i="3" s="1"/>
  <c r="R25" i="3" s="1"/>
  <c r="O92" i="3"/>
  <c r="O63" i="3"/>
  <c r="Q63" i="3" s="1"/>
  <c r="R63" i="3" s="1"/>
  <c r="Q62" i="3"/>
  <c r="R62" i="3" s="1"/>
  <c r="O64" i="3"/>
  <c r="Q64" i="3" s="1"/>
  <c r="R64" i="3" s="1"/>
  <c r="O61" i="3"/>
  <c r="Q61" i="3" s="1"/>
  <c r="R61" i="3" s="1"/>
  <c r="O21" i="3"/>
  <c r="Q21" i="3" s="1"/>
  <c r="O68" i="3"/>
  <c r="Q68" i="3" s="1"/>
  <c r="R68" i="3" s="1"/>
  <c r="O40" i="3"/>
  <c r="O39" i="3"/>
  <c r="Q39" i="3" s="1"/>
  <c r="R39" i="3" s="1"/>
  <c r="O41" i="3"/>
  <c r="Q41" i="3" s="1"/>
  <c r="R41" i="3" s="1"/>
  <c r="O42" i="3"/>
  <c r="Q42" i="3" s="1"/>
  <c r="R42" i="3" s="1"/>
  <c r="O59" i="3"/>
  <c r="Q59" i="3" s="1"/>
  <c r="R59" i="3" s="1"/>
  <c r="O58" i="3"/>
  <c r="Q58" i="3" s="1"/>
  <c r="R58" i="3" s="1"/>
  <c r="O60" i="3"/>
  <c r="Q60" i="3" s="1"/>
  <c r="R60" i="3" s="1"/>
  <c r="O56" i="3"/>
  <c r="Q56" i="3" s="1"/>
  <c r="R56" i="3" s="1"/>
  <c r="C61" i="4"/>
  <c r="D61" i="4" s="1"/>
  <c r="C60" i="4"/>
  <c r="D60" i="4" s="1"/>
  <c r="U53" i="3"/>
  <c r="V53" i="3" s="1"/>
  <c r="W53" i="3" s="1"/>
  <c r="Y53" i="3" s="1"/>
  <c r="S53" i="3"/>
  <c r="U65" i="3"/>
  <c r="V65" i="3" s="1"/>
  <c r="W65" i="3" s="1"/>
  <c r="Y65" i="3" s="1"/>
  <c r="S65" i="3"/>
  <c r="U45" i="3"/>
  <c r="S27" i="3"/>
  <c r="U27" i="3"/>
  <c r="V27" i="3" s="1"/>
  <c r="W27" i="3" s="1"/>
  <c r="Y27" i="3" s="1"/>
  <c r="U22" i="3"/>
  <c r="V22" i="3" s="1"/>
  <c r="W22" i="3" s="1"/>
  <c r="Y22" i="3" s="1"/>
  <c r="S22" i="3"/>
  <c r="U36" i="3"/>
  <c r="V36" i="3" s="1"/>
  <c r="W36" i="3" s="1"/>
  <c r="Y36" i="3" s="1"/>
  <c r="S36" i="3"/>
  <c r="U42" i="3"/>
  <c r="V42" i="3" s="1"/>
  <c r="W42" i="3" s="1"/>
  <c r="Y42" i="3" s="1"/>
  <c r="S42" i="3"/>
  <c r="S67" i="3"/>
  <c r="U67" i="3"/>
  <c r="V67" i="3" s="1"/>
  <c r="W67" i="3" s="1"/>
  <c r="Y67" i="3" s="1"/>
  <c r="S44" i="3"/>
  <c r="U44" i="3"/>
  <c r="V44" i="3" s="1"/>
  <c r="W44" i="3" s="1"/>
  <c r="Y44" i="3" s="1"/>
  <c r="U81" i="3"/>
  <c r="V81" i="3" s="1"/>
  <c r="W81" i="3" s="1"/>
  <c r="Y81" i="3" s="1"/>
  <c r="S81" i="3"/>
  <c r="U52" i="3"/>
  <c r="V52" i="3" s="1"/>
  <c r="W52" i="3" s="1"/>
  <c r="Y52" i="3" s="1"/>
  <c r="S52" i="3"/>
  <c r="U28" i="3"/>
  <c r="V28" i="3" s="1"/>
  <c r="W28" i="3" s="1"/>
  <c r="Y28" i="3" s="1"/>
  <c r="S28" i="3"/>
  <c r="U50" i="3"/>
  <c r="U64" i="3"/>
  <c r="V64" i="3" s="1"/>
  <c r="W64" i="3" s="1"/>
  <c r="Y64" i="3" s="1"/>
  <c r="S64" i="3"/>
  <c r="U63" i="3"/>
  <c r="V63" i="3" s="1"/>
  <c r="W63" i="3" s="1"/>
  <c r="Y63" i="3" s="1"/>
  <c r="S63" i="3"/>
  <c r="U51" i="3"/>
  <c r="V51" i="3" s="1"/>
  <c r="W51" i="3" s="1"/>
  <c r="Y51" i="3" s="1"/>
  <c r="S51" i="3"/>
  <c r="S33" i="3"/>
  <c r="U33" i="3"/>
  <c r="V33" i="3" s="1"/>
  <c r="W33" i="3" s="1"/>
  <c r="Y33" i="3" s="1"/>
  <c r="U73" i="3"/>
  <c r="V73" i="3" s="1"/>
  <c r="W73" i="3" s="1"/>
  <c r="Y73" i="3" s="1"/>
  <c r="S73" i="3"/>
  <c r="U69" i="3"/>
  <c r="V69" i="3" s="1"/>
  <c r="W69" i="3" s="1"/>
  <c r="Y69" i="3" s="1"/>
  <c r="S69" i="3"/>
  <c r="U77" i="3"/>
  <c r="V77" i="3" s="1"/>
  <c r="W77" i="3" s="1"/>
  <c r="Y77" i="3" s="1"/>
  <c r="S77" i="3"/>
  <c r="U30" i="3"/>
  <c r="V30" i="3" s="1"/>
  <c r="W30" i="3" s="1"/>
  <c r="Y30" i="3" s="1"/>
  <c r="S30" i="3"/>
  <c r="U47" i="3"/>
  <c r="V47" i="3" s="1"/>
  <c r="W47" i="3" s="1"/>
  <c r="Y47" i="3" s="1"/>
  <c r="S47" i="3"/>
  <c r="U40" i="3"/>
  <c r="V40" i="3" s="1"/>
  <c r="U20" i="3"/>
  <c r="V20" i="3" s="1"/>
  <c r="W20" i="3" s="1"/>
  <c r="Y20" i="3" s="1"/>
  <c r="S20" i="3"/>
  <c r="U79" i="3"/>
  <c r="V79" i="3" s="1"/>
  <c r="W79" i="3" s="1"/>
  <c r="Y79" i="3" s="1"/>
  <c r="S79" i="3"/>
  <c r="U18" i="3"/>
  <c r="V18" i="3" s="1"/>
  <c r="W18" i="3" s="1"/>
  <c r="Y18" i="3" s="1"/>
  <c r="U37" i="3"/>
  <c r="V37" i="3" s="1"/>
  <c r="W37" i="3" s="1"/>
  <c r="Y37" i="3" s="1"/>
  <c r="S37" i="3"/>
  <c r="U34" i="3"/>
  <c r="V34" i="3" s="1"/>
  <c r="W34" i="3" s="1"/>
  <c r="Y34" i="3" s="1"/>
  <c r="S34" i="3"/>
  <c r="U16" i="3"/>
  <c r="V16" i="3" s="1"/>
  <c r="W16" i="3" s="1"/>
  <c r="Y16" i="3" s="1"/>
  <c r="U78" i="3"/>
  <c r="V78" i="3" s="1"/>
  <c r="W78" i="3" s="1"/>
  <c r="Y78" i="3" s="1"/>
  <c r="S78" i="3"/>
  <c r="U48" i="3"/>
  <c r="V48" i="3" s="1"/>
  <c r="W48" i="3" s="1"/>
  <c r="Y48" i="3" s="1"/>
  <c r="S48" i="3"/>
  <c r="U76" i="3"/>
  <c r="V76" i="3" s="1"/>
  <c r="W76" i="3" s="1"/>
  <c r="Y76" i="3" s="1"/>
  <c r="S76" i="3"/>
  <c r="U41" i="3"/>
  <c r="V41" i="3" s="1"/>
  <c r="W41" i="3" s="1"/>
  <c r="Y41" i="3" s="1"/>
  <c r="S41" i="3"/>
  <c r="U62" i="3"/>
  <c r="V62" i="3" s="1"/>
  <c r="W62" i="3" s="1"/>
  <c r="Y62" i="3" s="1"/>
  <c r="S62" i="3"/>
  <c r="S55" i="3"/>
  <c r="U55" i="3"/>
  <c r="V55" i="3" s="1"/>
  <c r="W55" i="3" s="1"/>
  <c r="Y55" i="3" s="1"/>
  <c r="U38" i="3"/>
  <c r="V38" i="3" s="1"/>
  <c r="W38" i="3" s="1"/>
  <c r="Y38" i="3" s="1"/>
  <c r="S38" i="3"/>
  <c r="U80" i="3"/>
  <c r="V80" i="3" s="1"/>
  <c r="W80" i="3" s="1"/>
  <c r="Y80" i="3" s="1"/>
  <c r="S80" i="3"/>
  <c r="U68" i="3"/>
  <c r="V68" i="3" s="1"/>
  <c r="W68" i="3" s="1"/>
  <c r="Y68" i="3" s="1"/>
  <c r="S68" i="3"/>
  <c r="U32" i="3"/>
  <c r="U59" i="3"/>
  <c r="U57" i="3"/>
  <c r="V57" i="3" s="1"/>
  <c r="W57" i="3" s="1"/>
  <c r="Y57" i="3" s="1"/>
  <c r="S57" i="3"/>
  <c r="U14" i="3"/>
  <c r="V14" i="3" s="1"/>
  <c r="W14" i="3" s="1"/>
  <c r="Y14" i="3" s="1"/>
  <c r="S14" i="3"/>
  <c r="U31" i="3"/>
  <c r="C44" i="4"/>
  <c r="D44" i="4" s="1"/>
  <c r="C82" i="4"/>
  <c r="D82" i="4" s="1"/>
  <c r="C74" i="4"/>
  <c r="D74" i="4" s="1"/>
  <c r="C36" i="4"/>
  <c r="D36" i="4" s="1"/>
  <c r="O31" i="3" s="1"/>
  <c r="C52" i="4"/>
  <c r="S60" i="3"/>
  <c r="N29" i="3"/>
  <c r="C47" i="4"/>
  <c r="C39" i="4"/>
  <c r="D39" i="4" s="1"/>
  <c r="O46" i="3" s="1"/>
  <c r="Q46" i="3" s="1"/>
  <c r="R46" i="3" s="1"/>
  <c r="C85" i="4"/>
  <c r="D85" i="4" s="1"/>
  <c r="C77" i="4"/>
  <c r="D77" i="4" s="1"/>
  <c r="C55" i="4"/>
  <c r="O10" i="3"/>
  <c r="Q10" i="3" s="1"/>
  <c r="R10" i="3" s="1"/>
  <c r="O11" i="3"/>
  <c r="Q11" i="3" s="1"/>
  <c r="R11" i="3" s="1"/>
  <c r="O9" i="3"/>
  <c r="Q9" i="3" s="1"/>
  <c r="R9" i="3" s="1"/>
  <c r="Q7" i="3"/>
  <c r="R7" i="3" s="1"/>
  <c r="O8" i="3"/>
  <c r="Q8" i="3" s="1"/>
  <c r="R8" i="3" s="1"/>
  <c r="O18" i="3"/>
  <c r="O17" i="3"/>
  <c r="Q17" i="3" s="1"/>
  <c r="R17" i="3" s="1"/>
  <c r="O16" i="3"/>
  <c r="O15" i="3"/>
  <c r="Q15" i="3" s="1"/>
  <c r="R15" i="3" s="1"/>
  <c r="O12" i="3"/>
  <c r="Q12" i="3" s="1"/>
  <c r="R12" i="3" s="1"/>
  <c r="O14" i="3"/>
  <c r="Q14" i="3" s="1"/>
  <c r="R14" i="3" s="1"/>
  <c r="O13" i="3"/>
  <c r="Q13" i="3" s="1"/>
  <c r="R13" i="3" s="1"/>
  <c r="O22" i="3"/>
  <c r="Q22" i="3" s="1"/>
  <c r="R22" i="3" s="1"/>
  <c r="D57" i="4"/>
  <c r="U25" i="3"/>
  <c r="V25" i="3" s="1"/>
  <c r="S25" i="3"/>
  <c r="U6" i="3"/>
  <c r="V6" i="3" s="1"/>
  <c r="S6" i="3"/>
  <c r="T6" i="3" s="1"/>
  <c r="U7" i="3"/>
  <c r="V7" i="3" s="1"/>
  <c r="W7" i="3" s="1"/>
  <c r="Y7" i="3" s="1"/>
  <c r="S7" i="3"/>
  <c r="D37" i="4"/>
  <c r="U15" i="3"/>
  <c r="V15" i="3" s="1"/>
  <c r="W15" i="3" s="1"/>
  <c r="Y15" i="3" s="1"/>
  <c r="S15" i="3"/>
  <c r="D83" i="4"/>
  <c r="D75" i="4"/>
  <c r="D40" i="4"/>
  <c r="U11" i="3"/>
  <c r="V11" i="3" s="1"/>
  <c r="W11" i="3" s="1"/>
  <c r="Y11" i="3" s="1"/>
  <c r="S11" i="3"/>
  <c r="U54" i="3"/>
  <c r="V54" i="3" s="1"/>
  <c r="W54" i="3" s="1"/>
  <c r="Y54" i="3" s="1"/>
  <c r="S54" i="3"/>
  <c r="U35" i="3"/>
  <c r="V35" i="3" s="1"/>
  <c r="W35" i="3" s="1"/>
  <c r="Y35" i="3" s="1"/>
  <c r="S35" i="3"/>
  <c r="S71" i="3"/>
  <c r="U71" i="3"/>
  <c r="V71" i="3" s="1"/>
  <c r="W71" i="3" s="1"/>
  <c r="Y71" i="3" s="1"/>
  <c r="U49" i="3"/>
  <c r="V49" i="3" s="1"/>
  <c r="W49" i="3" s="1"/>
  <c r="Y49" i="3" s="1"/>
  <c r="S49" i="3"/>
  <c r="U56" i="3"/>
  <c r="V56" i="3" s="1"/>
  <c r="W56" i="3" s="1"/>
  <c r="Y56" i="3" s="1"/>
  <c r="S56" i="3"/>
  <c r="S12" i="3"/>
  <c r="U12" i="3"/>
  <c r="V12" i="3" s="1"/>
  <c r="W12" i="3" s="1"/>
  <c r="Y12" i="3" s="1"/>
  <c r="U10" i="3"/>
  <c r="V10" i="3" s="1"/>
  <c r="W10" i="3" s="1"/>
  <c r="Y10" i="3" s="1"/>
  <c r="S10" i="3"/>
  <c r="D54" i="4"/>
  <c r="D46" i="4"/>
  <c r="U21" i="3"/>
  <c r="V21" i="3" s="1"/>
  <c r="W21" i="3" s="1"/>
  <c r="Y21" i="3" s="1"/>
  <c r="S21" i="3"/>
  <c r="D28" i="4"/>
  <c r="D27" i="4"/>
  <c r="O81" i="3" s="1"/>
  <c r="U17" i="3"/>
  <c r="V17" i="3" s="1"/>
  <c r="W17" i="3" s="1"/>
  <c r="Y17" i="3" s="1"/>
  <c r="S17" i="3"/>
  <c r="U19" i="3"/>
  <c r="V19" i="3" s="1"/>
  <c r="W19" i="3" s="1"/>
  <c r="Y19" i="3" s="1"/>
  <c r="S19" i="3"/>
  <c r="D81" i="4"/>
  <c r="D73" i="4"/>
  <c r="U61" i="3"/>
  <c r="V61" i="3" s="1"/>
  <c r="W61" i="3" s="1"/>
  <c r="Y61" i="3" s="1"/>
  <c r="S61" i="3"/>
  <c r="U9" i="3"/>
  <c r="V9" i="3" s="1"/>
  <c r="W9" i="3" s="1"/>
  <c r="Y9" i="3" s="1"/>
  <c r="S9" i="3"/>
  <c r="U39" i="3"/>
  <c r="V39" i="3" s="1"/>
  <c r="W39" i="3" s="1"/>
  <c r="Y39" i="3" s="1"/>
  <c r="S39" i="3"/>
  <c r="U72" i="3"/>
  <c r="V72" i="3" s="1"/>
  <c r="W72" i="3" s="1"/>
  <c r="Y72" i="3" s="1"/>
  <c r="S72" i="3"/>
  <c r="S8" i="3"/>
  <c r="U8" i="3"/>
  <c r="V8" i="3" s="1"/>
  <c r="W8" i="3" s="1"/>
  <c r="Y8" i="3" s="1"/>
  <c r="U70" i="3"/>
  <c r="V70" i="3" s="1"/>
  <c r="W70" i="3" s="1"/>
  <c r="Y70" i="3" s="1"/>
  <c r="S70" i="3"/>
  <c r="S23" i="3"/>
  <c r="U23" i="3"/>
  <c r="V23" i="3" s="1"/>
  <c r="W23" i="3" s="1"/>
  <c r="Y23" i="3" s="1"/>
  <c r="U58" i="3"/>
  <c r="V58" i="3" s="1"/>
  <c r="W58" i="3" s="1"/>
  <c r="Y58" i="3" s="1"/>
  <c r="S58" i="3"/>
  <c r="D22" i="4"/>
  <c r="O19" i="3" s="1"/>
  <c r="Q19" i="3" s="1"/>
  <c r="R19" i="3" s="1"/>
  <c r="D23" i="4"/>
  <c r="D43" i="4"/>
  <c r="V43" i="3" l="1"/>
  <c r="W43" i="3" s="1"/>
  <c r="Y43" i="3" s="1"/>
  <c r="T46" i="3"/>
  <c r="V31" i="3"/>
  <c r="W31" i="3" s="1"/>
  <c r="Y31" i="3" s="1"/>
  <c r="Q40" i="3"/>
  <c r="R40" i="3" s="1"/>
  <c r="V45" i="3"/>
  <c r="W45" i="3" s="1"/>
  <c r="Y45" i="3" s="1"/>
  <c r="V32" i="3"/>
  <c r="W32" i="3" s="1"/>
  <c r="Y32" i="3" s="1"/>
  <c r="V50" i="3"/>
  <c r="W50" i="3" s="1"/>
  <c r="Y50" i="3" s="1"/>
  <c r="W40" i="3"/>
  <c r="Y40" i="3" s="1"/>
  <c r="Q18" i="3"/>
  <c r="R18" i="3" s="1"/>
  <c r="S18" i="3"/>
  <c r="S24" i="3" s="1"/>
  <c r="T58" i="3"/>
  <c r="T21" i="3"/>
  <c r="O72" i="3"/>
  <c r="Q72" i="3" s="1"/>
  <c r="O79" i="3"/>
  <c r="Q79" i="3" s="1"/>
  <c r="O32" i="3"/>
  <c r="O29" i="3"/>
  <c r="Q29" i="3" s="1"/>
  <c r="R29" i="3" s="1"/>
  <c r="O34" i="3"/>
  <c r="Q34" i="3" s="1"/>
  <c r="O30" i="3"/>
  <c r="Q30" i="3" s="1"/>
  <c r="R30" i="3" s="1"/>
  <c r="O33" i="3"/>
  <c r="Q33" i="3" s="1"/>
  <c r="O69" i="3"/>
  <c r="Q69" i="3" s="1"/>
  <c r="R69" i="3" s="1"/>
  <c r="O50" i="3"/>
  <c r="Q50" i="3" s="1"/>
  <c r="O53" i="3"/>
  <c r="Q53" i="3" s="1"/>
  <c r="O49" i="3"/>
  <c r="Q49" i="3" s="1"/>
  <c r="R49" i="3" s="1"/>
  <c r="O51" i="3"/>
  <c r="Q51" i="3" s="1"/>
  <c r="O52" i="3"/>
  <c r="Q52" i="3" s="1"/>
  <c r="O70" i="3"/>
  <c r="Q70" i="3" s="1"/>
  <c r="O36" i="3"/>
  <c r="Q36" i="3" s="1"/>
  <c r="O35" i="3"/>
  <c r="Q35" i="3" s="1"/>
  <c r="R35" i="3" s="1"/>
  <c r="O37" i="3"/>
  <c r="Q37" i="3" s="1"/>
  <c r="O38" i="3"/>
  <c r="Q38" i="3" s="1"/>
  <c r="Q16" i="3"/>
  <c r="T16" i="3" s="1"/>
  <c r="V59" i="3"/>
  <c r="W59" i="3" s="1"/>
  <c r="Y59" i="3" s="1"/>
  <c r="O67" i="3"/>
  <c r="Q67" i="3" s="1"/>
  <c r="O45" i="3"/>
  <c r="Q45" i="3" s="1"/>
  <c r="O44" i="3"/>
  <c r="Q44" i="3" s="1"/>
  <c r="O48" i="3"/>
  <c r="Q48" i="3" s="1"/>
  <c r="O47" i="3"/>
  <c r="Q47" i="3" s="1"/>
  <c r="O65" i="3"/>
  <c r="Q65" i="3" s="1"/>
  <c r="T54" i="3"/>
  <c r="T17" i="3"/>
  <c r="T61" i="3"/>
  <c r="T59" i="3"/>
  <c r="S29" i="3"/>
  <c r="S82" i="3" s="1"/>
  <c r="U29" i="3"/>
  <c r="V29" i="3" s="1"/>
  <c r="W29" i="3" s="1"/>
  <c r="Y29" i="3" s="1"/>
  <c r="T60" i="3"/>
  <c r="T62" i="3"/>
  <c r="D49" i="4"/>
  <c r="O75" i="3" s="1"/>
  <c r="Q75" i="3" s="1"/>
  <c r="T10" i="3"/>
  <c r="T9" i="3"/>
  <c r="T39" i="3"/>
  <c r="Q81" i="3"/>
  <c r="R81" i="3" s="1"/>
  <c r="O23" i="3"/>
  <c r="Q23" i="3" s="1"/>
  <c r="R23" i="3" s="1"/>
  <c r="O20" i="3"/>
  <c r="Q20" i="3" s="1"/>
  <c r="T11" i="3"/>
  <c r="T7" i="3"/>
  <c r="T8" i="3"/>
  <c r="T42" i="3"/>
  <c r="T19" i="3"/>
  <c r="T63" i="3"/>
  <c r="T64" i="3"/>
  <c r="T56" i="3"/>
  <c r="T57" i="3"/>
  <c r="T55" i="3"/>
  <c r="T40" i="3"/>
  <c r="T41" i="3"/>
  <c r="T28" i="3"/>
  <c r="T27" i="3"/>
  <c r="T15" i="3"/>
  <c r="T12" i="3"/>
  <c r="T13" i="3"/>
  <c r="T14" i="3"/>
  <c r="T22" i="3"/>
  <c r="T68" i="3"/>
  <c r="R21" i="3"/>
  <c r="D45" i="4"/>
  <c r="D53" i="4"/>
  <c r="D48" i="4"/>
  <c r="D56" i="4"/>
  <c r="T25" i="3"/>
  <c r="D47" i="4"/>
  <c r="D55" i="4"/>
  <c r="W25" i="3"/>
  <c r="Y25" i="3" s="1"/>
  <c r="V24" i="3"/>
  <c r="W6" i="3"/>
  <c r="D52" i="4"/>
  <c r="D51" i="4"/>
  <c r="R75" i="3" l="1"/>
  <c r="T75" i="3"/>
  <c r="Q31" i="3"/>
  <c r="R31" i="3" s="1"/>
  <c r="Q32" i="3"/>
  <c r="T32" i="3" s="1"/>
  <c r="T18" i="3"/>
  <c r="W24" i="3"/>
  <c r="Y6" i="3"/>
  <c r="R34" i="3"/>
  <c r="T34" i="3"/>
  <c r="R65" i="3"/>
  <c r="T65" i="3"/>
  <c r="R70" i="3"/>
  <c r="T70" i="3"/>
  <c r="R33" i="3"/>
  <c r="T33" i="3"/>
  <c r="R67" i="3"/>
  <c r="T67" i="3"/>
  <c r="R79" i="3"/>
  <c r="T79" i="3"/>
  <c r="R72" i="3"/>
  <c r="T72" i="3"/>
  <c r="O73" i="3"/>
  <c r="Q73" i="3" s="1"/>
  <c r="O74" i="3"/>
  <c r="Q74" i="3" s="1"/>
  <c r="O76" i="3"/>
  <c r="Q76" i="3" s="1"/>
  <c r="O77" i="3"/>
  <c r="Q77" i="3" s="1"/>
  <c r="O78" i="3"/>
  <c r="Q78" i="3" s="1"/>
  <c r="W82" i="3"/>
  <c r="O71" i="3"/>
  <c r="Q71" i="3" s="1"/>
  <c r="R71" i="3" s="1"/>
  <c r="O80" i="3"/>
  <c r="Q80" i="3" s="1"/>
  <c r="T69" i="3"/>
  <c r="R16" i="3"/>
  <c r="T30" i="3"/>
  <c r="V82" i="3"/>
  <c r="V83" i="3" s="1"/>
  <c r="T29" i="3"/>
  <c r="T31" i="3"/>
  <c r="T23" i="3"/>
  <c r="D79" i="4"/>
  <c r="D87" i="4"/>
  <c r="T81" i="3"/>
  <c r="Q24" i="3"/>
  <c r="T24" i="3" s="1"/>
  <c r="R20" i="3"/>
  <c r="T20" i="3"/>
  <c r="R52" i="3"/>
  <c r="T52" i="3"/>
  <c r="R53" i="3"/>
  <c r="T53" i="3"/>
  <c r="R50" i="3"/>
  <c r="T50" i="3"/>
  <c r="R51" i="3"/>
  <c r="T51" i="3"/>
  <c r="T49" i="3"/>
  <c r="R48" i="3"/>
  <c r="T48" i="3"/>
  <c r="R47" i="3"/>
  <c r="T47" i="3"/>
  <c r="R44" i="3"/>
  <c r="T44" i="3"/>
  <c r="R45" i="3"/>
  <c r="T45" i="3"/>
  <c r="R38" i="3"/>
  <c r="T38" i="3"/>
  <c r="R37" i="3"/>
  <c r="T37" i="3"/>
  <c r="R36" i="3"/>
  <c r="T36" i="3"/>
  <c r="T35" i="3"/>
  <c r="S83" i="3"/>
  <c r="D78" i="4"/>
  <c r="D86" i="4"/>
  <c r="W83" i="3" l="1"/>
  <c r="R32" i="3"/>
  <c r="R24" i="3"/>
  <c r="R77" i="3"/>
  <c r="T77" i="3"/>
  <c r="R76" i="3"/>
  <c r="T76" i="3"/>
  <c r="R74" i="3"/>
  <c r="T74" i="3"/>
  <c r="R80" i="3"/>
  <c r="T80" i="3"/>
  <c r="R78" i="3"/>
  <c r="T78" i="3"/>
  <c r="Q82" i="3"/>
  <c r="Q83" i="3" s="1"/>
  <c r="T73" i="3"/>
  <c r="R73" i="3"/>
  <c r="T71" i="3"/>
  <c r="T82" i="3" l="1"/>
  <c r="T83" i="3" s="1"/>
  <c r="S86" i="3"/>
  <c r="R86" i="3"/>
  <c r="R82" i="3"/>
  <c r="R83" i="3" l="1"/>
  <c r="B66" i="2" s="1"/>
  <c r="B67" i="2" s="1"/>
  <c r="R87" i="3"/>
  <c r="R88" i="3" s="1"/>
  <c r="R92" i="3" s="1"/>
  <c r="S87" i="3"/>
</calcChain>
</file>

<file path=xl/comments1.xml><?xml version="1.0" encoding="utf-8"?>
<comments xmlns="http://schemas.openxmlformats.org/spreadsheetml/2006/main">
  <authors>
    <author>Heather Garland</author>
  </authors>
  <commentList>
    <comment ref="G68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Changed to 34 lbs - no commercial rate, only resi.</t>
        </r>
      </text>
    </comment>
  </commentList>
</comments>
</file>

<file path=xl/comments2.xml><?xml version="1.0" encoding="utf-8"?>
<comments xmlns="http://schemas.openxmlformats.org/spreadsheetml/2006/main">
  <authors>
    <author>Ben Thompson</author>
  </authors>
  <commentList>
    <comment ref="B28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Unadjusted Meeks weights.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Unadjusted Meeks weights.</t>
        </r>
      </text>
    </comment>
  </commentList>
</comments>
</file>

<file path=xl/comments3.xml><?xml version="1.0" encoding="utf-8"?>
<comments xmlns="http://schemas.openxmlformats.org/spreadsheetml/2006/main">
  <authors>
    <author>Heather Garland</author>
  </authors>
  <commentList>
    <comment ref="K5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Medical Waste rate increase will be filed at a later date, pending the results of the garbage increase audit.</t>
        </r>
      </text>
    </comment>
  </commentList>
</comments>
</file>

<file path=xl/sharedStrings.xml><?xml version="1.0" encoding="utf-8"?>
<sst xmlns="http://schemas.openxmlformats.org/spreadsheetml/2006/main" count="617" uniqueCount="492">
  <si>
    <t>Total</t>
  </si>
  <si>
    <t>Service Code</t>
  </si>
  <si>
    <t>Service Code Description</t>
  </si>
  <si>
    <t>Rate</t>
  </si>
  <si>
    <t>Revenue</t>
  </si>
  <si>
    <t>Customers</t>
  </si>
  <si>
    <t>RESIDENTIAL SERVICES</t>
  </si>
  <si>
    <t>RESIDENTIAL GARBAGE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</si>
  <si>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</si>
  <si>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</si>
  <si>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</si>
  <si>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</si>
  <si>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</si>
  <si>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</si>
  <si>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</si>
  <si>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</si>
  <si>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</si>
  <si>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</si>
  <si>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RL032.0G1W004</t>
  </si>
  <si>
    <t>RL 32 GL 1X WK 4</t>
  </si>
  <si>
    <t>RL065.0G1W001</t>
  </si>
  <si>
    <t>RL 65 GL 1X WK 1</t>
  </si>
  <si>
    <t>RL065.0G1W003</t>
  </si>
  <si>
    <t>RL 65 GL 1X WK 3</t>
  </si>
  <si>
    <t>RL090.0G1W001</t>
  </si>
  <si>
    <t>RL 90 GL 1X WK 1</t>
  </si>
  <si>
    <t>RL090.0G1W002</t>
  </si>
  <si>
    <t>RL 90 GL 1X WK 2</t>
  </si>
  <si>
    <t>RL32R-OC</t>
  </si>
  <si>
    <t>1 RL 32 GL ON CALL-RES</t>
  </si>
  <si>
    <t>RL90R-OC</t>
  </si>
  <si>
    <t>RL 90 GL ON CALL - RES</t>
  </si>
  <si>
    <t>EXTRA-RES</t>
  </si>
  <si>
    <t>EXTRA CAN, BAG, BOX-RES</t>
  </si>
  <si>
    <t>EXTRYDG-RES</t>
  </si>
  <si>
    <t>EXTRA YARDAGE - RES</t>
  </si>
  <si>
    <t>OS-RES</t>
  </si>
  <si>
    <t>OVERSIZE CAN - RES</t>
  </si>
  <si>
    <t>OW-RES</t>
  </si>
  <si>
    <t>OVERFILL/WEIGHT CAN-RES</t>
  </si>
  <si>
    <t>BULKY-RES</t>
  </si>
  <si>
    <t>BULKY ITEM PICK UP-RES</t>
  </si>
  <si>
    <t>DIST-RES</t>
  </si>
  <si>
    <t>DISTANCE FEE - RES</t>
  </si>
  <si>
    <t>REDEL-RES</t>
  </si>
  <si>
    <t>REDELIVERY FEE - RES</t>
  </si>
  <si>
    <t>REINSTATE-RES</t>
  </si>
  <si>
    <t>REINSTATE FEE - RES</t>
  </si>
  <si>
    <t>TOTAL RESIDENTIAL GARBAGE</t>
  </si>
  <si>
    <t>COMMERCIAL SERVICES</t>
  </si>
  <si>
    <t>COMMERCIAL GARBAGE</t>
  </si>
  <si>
    <t>RL001.0Y1W001</t>
  </si>
  <si>
    <t>RL 1 YD 1X WK 1</t>
  </si>
  <si>
    <t>RL001.0Y3W001</t>
  </si>
  <si>
    <t>RL 1 YD 3X WK 1</t>
  </si>
  <si>
    <t>RL001.5Y1M001</t>
  </si>
  <si>
    <t>RL 1.5 YD 1X MO 1</t>
  </si>
  <si>
    <t>RL001.5Y1W001</t>
  </si>
  <si>
    <t>RL 1.5 YD 1X WK 1</t>
  </si>
  <si>
    <t>RL001.5Y1W002</t>
  </si>
  <si>
    <t>RL 1.5 YD 1X WK 2</t>
  </si>
  <si>
    <t>RL001.5Y1W003</t>
  </si>
  <si>
    <t>RL 1.5 YD 1X WK 3</t>
  </si>
  <si>
    <t>RL001.5Y2W001</t>
  </si>
  <si>
    <t>RL 1.5 YD 2X WK 1</t>
  </si>
  <si>
    <t>RL001.5Y3W001</t>
  </si>
  <si>
    <t>RL 1.5 YD 3X WK 1</t>
  </si>
  <si>
    <t>RL002.0Y1M001</t>
  </si>
  <si>
    <t>RL 2 YD 1X MO 1</t>
  </si>
  <si>
    <t>RL002.0Y1W001</t>
  </si>
  <si>
    <t>RL 2 YD 1X WK 1</t>
  </si>
  <si>
    <t>RL002.0Y2W001</t>
  </si>
  <si>
    <t>RL 2 YD 2X WK 1</t>
  </si>
  <si>
    <t>RL002.0Y3W001</t>
  </si>
  <si>
    <t>RL 2 YD 3X WK 1</t>
  </si>
  <si>
    <t>RL003.0Y1W001</t>
  </si>
  <si>
    <t>RL 3 YD 1X WK 1</t>
  </si>
  <si>
    <t>RL003.0Y1W002</t>
  </si>
  <si>
    <t>RL 3 YD 1X WK 2</t>
  </si>
  <si>
    <t>RL003.0Y2W001</t>
  </si>
  <si>
    <t>RL 3 YD 2X WK 1</t>
  </si>
  <si>
    <t>RL003.0Y3W001</t>
  </si>
  <si>
    <t>RL 3 YD 3X WK 1</t>
  </si>
  <si>
    <t>RL004.0Y1W001</t>
  </si>
  <si>
    <t>RL 4 YD 1X WK 1</t>
  </si>
  <si>
    <t>RL004.0Y1W002</t>
  </si>
  <si>
    <t>RL 4 YD 1X WK 2</t>
  </si>
  <si>
    <t>RL004.0Y3W001</t>
  </si>
  <si>
    <t>RL 4 YD 3X WK 1</t>
  </si>
  <si>
    <t>RL004.0Y4W001</t>
  </si>
  <si>
    <t>RL 4 YD 4X WK 1</t>
  </si>
  <si>
    <t>RL006.0Y1W001</t>
  </si>
  <si>
    <t>RL 6 YD 1X WK 1</t>
  </si>
  <si>
    <t>RL006.0Y1W002</t>
  </si>
  <si>
    <t>RL 6 YD 1X WK 2</t>
  </si>
  <si>
    <t>RL006.0Y2W001</t>
  </si>
  <si>
    <t>RL 6 YD 2X WK 1</t>
  </si>
  <si>
    <t>RL006.0Y4W001</t>
  </si>
  <si>
    <t>RL 6 YD 4X WK 1</t>
  </si>
  <si>
    <t>RL008.0Y1W001</t>
  </si>
  <si>
    <t>RL 8 YD 1X WK 1</t>
  </si>
  <si>
    <t>RL008.0Y2W001</t>
  </si>
  <si>
    <t>RL 8 YD 2X WK 1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</si>
  <si>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</si>
  <si>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</si>
  <si>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</si>
  <si>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</si>
  <si>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</si>
  <si>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</si>
  <si>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RL065.0G1W005COMM</t>
  </si>
  <si>
    <t>RL 65 GL 1X WK COMM 5</t>
  </si>
  <si>
    <t>RL090.0G1W001COMM</t>
  </si>
  <si>
    <t>RL 90 GL 1X WK COMM 1</t>
  </si>
  <si>
    <t>RL090.0G1W002COMM</t>
  </si>
  <si>
    <t>RL 90 GL 1X WK COMM 2</t>
  </si>
  <si>
    <t>RL090.0G2W001COMM</t>
  </si>
  <si>
    <t>RL 90 GL 2X WK COMM 1</t>
  </si>
  <si>
    <t>RL090.0G2W004COMM</t>
  </si>
  <si>
    <t>RL 90 GL 2X WK COMM 4</t>
  </si>
  <si>
    <t>RL32C-OC</t>
  </si>
  <si>
    <t>1 RL 32 GL ON CALL - COMM</t>
  </si>
  <si>
    <t>EXTRA-COMM</t>
  </si>
  <si>
    <t>EXTRA CAN, BAG, BOX-COMM</t>
  </si>
  <si>
    <t>OS-COMM</t>
  </si>
  <si>
    <t>OVERSIZE CAN - COMM</t>
  </si>
  <si>
    <t>OW-COMM</t>
  </si>
  <si>
    <t>OVERFILL/WEIGHT CAN-COMM</t>
  </si>
  <si>
    <t>RL1C-OC</t>
  </si>
  <si>
    <t>1 RL 1 YD ON CALL-COMM</t>
  </si>
  <si>
    <t>RL1.5C-OC</t>
  </si>
  <si>
    <t>1 RL 1.5 YD ON CALL-COMM</t>
  </si>
  <si>
    <t>RL2C-OC</t>
  </si>
  <si>
    <t>1 RL 2 YD ON CALL-COMM</t>
  </si>
  <si>
    <t>RL3C-OC</t>
  </si>
  <si>
    <t>1 RL 3 YD ON CALL-COMM</t>
  </si>
  <si>
    <t>RL4C-OC</t>
  </si>
  <si>
    <t>1 RL 4 YD ON CALL-COMM</t>
  </si>
  <si>
    <t>RL1.5TC-COMM</t>
  </si>
  <si>
    <t>RL TEMPORARY 1.5 YD-COMM</t>
  </si>
  <si>
    <t>RL1TC-COMM</t>
  </si>
  <si>
    <t>RL TEMPORARY 1 YD-COMM</t>
  </si>
  <si>
    <t>RL2TC-COMM</t>
  </si>
  <si>
    <t>RL TEMPORARY 2 YD-COMM</t>
  </si>
  <si>
    <t>RL3TC-COMM</t>
  </si>
  <si>
    <t>RL TEMPORARY 3 YD - COMM</t>
  </si>
  <si>
    <t>RL4TC-COMM</t>
  </si>
  <si>
    <t>RL TEMPORARY 4 YD-COMM</t>
  </si>
  <si>
    <t>EXTRAYDG-COMM</t>
  </si>
  <si>
    <t>EXTRA YARDAGE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</si>
  <si>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</si>
  <si>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</si>
  <si>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</si>
  <si>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</si>
  <si>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</si>
  <si>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</si>
  <si>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RENT1TEMP-COMM</t>
  </si>
  <si>
    <t>RENTAL FEE 1 YD TEMP - COMM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</si>
  <si>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</si>
  <si>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</si>
  <si>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</si>
  <si>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</si>
  <si>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</si>
  <si>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</si>
  <si>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RENT3TEMP-COMM</t>
  </si>
  <si>
    <t>RENTAL FEE 3 YD TEMP - CO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</si>
  <si>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</si>
  <si>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</si>
  <si>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</si>
  <si>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</si>
  <si>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</si>
  <si>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</si>
  <si>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RENT8-COMM</t>
  </si>
  <si>
    <t>RENTAL FEE 8 YD COMM</t>
  </si>
  <si>
    <t>DELTEMP-COMM</t>
  </si>
  <si>
    <t>DELIVERY FEE TEMP-COMM</t>
  </si>
  <si>
    <t>REDEL-COMM</t>
  </si>
  <si>
    <t>REDELIVERY FEE - COMM</t>
  </si>
  <si>
    <t>REINSTATE-COMM</t>
  </si>
  <si>
    <t>REINSTATE FEE - COMM</t>
  </si>
  <si>
    <t>ROLL-COMM</t>
  </si>
  <si>
    <t>ROLL OUT CHARGE - COMM</t>
  </si>
  <si>
    <t>TRIP1-COMM</t>
  </si>
  <si>
    <t>TRIP FEE - COMM</t>
  </si>
  <si>
    <t>UNLCKC</t>
  </si>
  <si>
    <t>UNLOCKING FEE - COMM</t>
  </si>
  <si>
    <t>TOTAL COMMERCIAL GARBAGE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</si>
  <si>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</si>
  <si>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</si>
  <si>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</si>
  <si>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</si>
  <si>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</si>
  <si>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</si>
  <si>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</si>
  <si>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</si>
  <si>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</si>
  <si>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</si>
  <si>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</si>
  <si>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</si>
  <si>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</si>
  <si>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</si>
  <si>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</si>
  <si>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</si>
  <si>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</si>
  <si>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</si>
  <si>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</si>
  <si>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</si>
  <si>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</si>
  <si>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</si>
  <si>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</si>
  <si>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</si>
  <si>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</si>
  <si>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</si>
  <si>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</si>
  <si>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</si>
  <si>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</si>
  <si>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</si>
  <si>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</si>
  <si>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</si>
  <si>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</si>
  <si>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</si>
  <si>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</si>
  <si>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</si>
  <si>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</si>
  <si>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1.5 yd container (2)</t>
  </si>
  <si>
    <t>*</t>
  </si>
  <si>
    <t>2 yd container</t>
  </si>
  <si>
    <t>3 yd container</t>
  </si>
  <si>
    <t>3 yd container (2)</t>
  </si>
  <si>
    <t>4 yd container</t>
  </si>
  <si>
    <t>4 yd container (2)</t>
  </si>
  <si>
    <t>6 yd container</t>
  </si>
  <si>
    <t>6 yd container (2)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</si>
  <si>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</si>
  <si>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</si>
  <si>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</si>
  <si>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</si>
  <si>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</si>
  <si>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</si>
  <si>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</si>
  <si>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</si>
  <si>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</si>
  <si>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</si>
  <si>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</si>
  <si>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</si>
  <si>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</si>
  <si>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</si>
  <si>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</si>
  <si>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</si>
  <si>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</si>
  <si>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</si>
  <si>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</si>
  <si>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</si>
  <si>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Factor</t>
  </si>
  <si>
    <t>Residential</t>
  </si>
  <si>
    <t>Commercial</t>
  </si>
  <si>
    <t>Monthly Customers</t>
  </si>
  <si>
    <t>Monthly Frequency</t>
  </si>
  <si>
    <t>Annual Pickups</t>
  </si>
  <si>
    <t>Calculated Annual Pounds</t>
  </si>
  <si>
    <t>Adjusted Annual Pounds</t>
  </si>
  <si>
    <t>Gross Up</t>
  </si>
  <si>
    <t>Company Current Tariff</t>
  </si>
  <si>
    <t>Company Proposed Tariff</t>
  </si>
  <si>
    <t>Company Current Revenue</t>
  </si>
  <si>
    <t xml:space="preserve">  Average Monthly Cust divide by </t>
  </si>
  <si>
    <t>Whitman County</t>
  </si>
  <si>
    <t>Increase per Ton</t>
  </si>
  <si>
    <t>Tons</t>
  </si>
  <si>
    <t>Adjustment Factor Calculation</t>
  </si>
  <si>
    <t>Total Tonnage</t>
  </si>
  <si>
    <t>Total Pounds</t>
  </si>
  <si>
    <t>Total Pick Ups</t>
  </si>
  <si>
    <t>Adjustment factor</t>
  </si>
  <si>
    <t>Oversized Unit</t>
  </si>
  <si>
    <t>Mini Can</t>
  </si>
  <si>
    <t>1 Can Weekly</t>
  </si>
  <si>
    <t>2 Can Weekly</t>
  </si>
  <si>
    <t>3 Can Weekly</t>
  </si>
  <si>
    <t>4 Can Weekly</t>
  </si>
  <si>
    <t>5 Can Weekly</t>
  </si>
  <si>
    <t>6 Can Weekly</t>
  </si>
  <si>
    <t>65 Gal Weekly</t>
  </si>
  <si>
    <t>90 Gal Weekly</t>
  </si>
  <si>
    <t xml:space="preserve">1 Can </t>
  </si>
  <si>
    <t>32 Gal Extra</t>
  </si>
  <si>
    <t>Bag</t>
  </si>
  <si>
    <t>On-Call</t>
  </si>
  <si>
    <t>Loose Material 1-4yd</t>
  </si>
  <si>
    <t>Loose Material per Yard</t>
  </si>
  <si>
    <t>Loose Material Min Charge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</si>
  <si>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</si>
  <si>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</si>
  <si>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</si>
  <si>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</si>
  <si>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</si>
  <si>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</si>
  <si>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</si>
  <si>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</si>
  <si>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</si>
  <si>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</si>
  <si>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</si>
  <si>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</si>
  <si>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</si>
  <si>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</si>
  <si>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</si>
  <si>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</si>
  <si>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</si>
  <si>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</si>
  <si>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</si>
  <si>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</si>
  <si>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</si>
  <si>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32 Gal</t>
  </si>
  <si>
    <t>Monthly Minumum</t>
  </si>
  <si>
    <t>65 Gal</t>
  </si>
  <si>
    <t>90 Gal</t>
  </si>
  <si>
    <t>1 yard</t>
  </si>
  <si>
    <t>1.5 yard</t>
  </si>
  <si>
    <t>6  Yard</t>
  </si>
  <si>
    <t>8 yard</t>
  </si>
  <si>
    <t>1 yard - Special</t>
  </si>
  <si>
    <t>1.5 yard - Special</t>
  </si>
  <si>
    <t>6  Yard - Special</t>
  </si>
  <si>
    <t>8 yard - Special</t>
  </si>
  <si>
    <t>Whitman County TFS</t>
  </si>
  <si>
    <t>Add'l Cont</t>
  </si>
  <si>
    <t>Add'l PU's</t>
  </si>
  <si>
    <t>Company Proposed Revenue</t>
  </si>
  <si>
    <t>No Current Customers</t>
  </si>
  <si>
    <t>5 Can</t>
  </si>
  <si>
    <t>6 Can</t>
  </si>
  <si>
    <t>65 Gal Special</t>
  </si>
  <si>
    <t>90 Gal Special</t>
  </si>
  <si>
    <t>RL065.0G1W002</t>
  </si>
  <si>
    <t>RL 65 GL 1X WK 2</t>
  </si>
  <si>
    <t>DRIVEIN1-RES</t>
  </si>
  <si>
    <t xml:space="preserve">DRIVE IN 125-250' - RES </t>
  </si>
  <si>
    <t>WI1-RES</t>
  </si>
  <si>
    <t>WALK IN 5-25 FT - RES</t>
  </si>
  <si>
    <t>TIME-RES</t>
  </si>
  <si>
    <t>TIME FEE 1 - RES</t>
  </si>
  <si>
    <t>RESIDENTIAL RECYCLING</t>
  </si>
  <si>
    <t>RRECWGBG</t>
  </si>
  <si>
    <t>RESI RECYCLE WITH GARBAGE</t>
  </si>
  <si>
    <t>TOTAL RESIDENTIAL RECYCLING</t>
  </si>
  <si>
    <t>RL001.0Y1M001</t>
  </si>
  <si>
    <t>RL 1 YD 1X MO 1</t>
  </si>
  <si>
    <t>RL006.0Y5W001</t>
  </si>
  <si>
    <t>RL 6 YD 5X WEEK</t>
  </si>
  <si>
    <t>RL032.0G1W003COMM</t>
  </si>
  <si>
    <t>RL 32 GL 1X WK COMM 3</t>
  </si>
  <si>
    <t>RL065.0G1W002COMM</t>
  </si>
  <si>
    <t>RL 65 GL 1X WK COMM 2</t>
  </si>
  <si>
    <t>RL6C-OC</t>
  </si>
  <si>
    <t>1 RL 6 YD ON CALL - COMM</t>
  </si>
  <si>
    <t xml:space="preserve">DRIVEIN1-COMM </t>
  </si>
  <si>
    <t>DRIVE IN 125-250' - COMM</t>
  </si>
  <si>
    <t>COMMERCIAL RECYCLING</t>
  </si>
  <si>
    <t>RECCOMSVC1W001</t>
  </si>
  <si>
    <t>COMMERCIAL RECYCLE WEEKLY</t>
  </si>
  <si>
    <t>TOTAL COMMERCIAL RECYCLING</t>
  </si>
  <si>
    <t>MEDICAL WASTE</t>
  </si>
  <si>
    <t>HAULMED-COMM</t>
  </si>
  <si>
    <t>MEDICAL WASTE SERVICE - COMM</t>
  </si>
  <si>
    <t>TOTAL MEDICAL WASTE</t>
  </si>
  <si>
    <t>DROP BOX SERVICES</t>
  </si>
  <si>
    <t>DROP BOX HAULS/RENTAL</t>
  </si>
  <si>
    <t>HAUL25-RO</t>
  </si>
  <si>
    <t>HAUL 25 YD - RO</t>
  </si>
  <si>
    <t>HAUL25TEMP-RO</t>
  </si>
  <si>
    <t>HAUL 25 YD TEMP - RO</t>
  </si>
  <si>
    <t>HAUL40-RO</t>
  </si>
  <si>
    <t>HAUL 40 YD - RO</t>
  </si>
  <si>
    <t>HAUL40TEMP-RO</t>
  </si>
  <si>
    <t>HAUL 40 YD TEMP - RO</t>
  </si>
  <si>
    <t>RENT25MO-RO</t>
  </si>
  <si>
    <t>RENTAL FEE 25YD MONTHLY</t>
  </si>
  <si>
    <t>RENT40MO-RO</t>
  </si>
  <si>
    <t>RENTAL FEE 40 YD MONTHLY</t>
  </si>
  <si>
    <t>DEL-RO</t>
  </si>
  <si>
    <t>DELIVERY FEE - RO</t>
  </si>
  <si>
    <t>MILE-RO</t>
  </si>
  <si>
    <t>MILEAGE FEE - RO</t>
  </si>
  <si>
    <t xml:space="preserve">TOTAL DROP BOX </t>
  </si>
  <si>
    <t>PASSTHROUGH DISPOSAL</t>
  </si>
  <si>
    <t>DISP-RO</t>
  </si>
  <si>
    <t>DISPOSAL CHARGE - RO</t>
  </si>
  <si>
    <t>TOTAL PASSTHROUGH DISPOSAL</t>
  </si>
  <si>
    <t>Service Charges</t>
  </si>
  <si>
    <t>FINCHG</t>
  </si>
  <si>
    <t>FINANCE CHARGE</t>
  </si>
  <si>
    <t>RETCKC</t>
  </si>
  <si>
    <t>RETURN CHECK CHARGE</t>
  </si>
  <si>
    <t>ADJ-FIN</t>
  </si>
  <si>
    <t>ADJUSTMENT FINANCE CHARGE</t>
  </si>
  <si>
    <t>TOTAL SERVICE CHARGES</t>
  </si>
  <si>
    <t>TOTAL REVENUE</t>
  </si>
  <si>
    <t>Transfer Station</t>
  </si>
  <si>
    <t>Roll Off</t>
  </si>
  <si>
    <t>MSW</t>
  </si>
  <si>
    <t>$</t>
  </si>
  <si>
    <t>Lbs</t>
  </si>
  <si>
    <t>%</t>
  </si>
  <si>
    <t>Regulated</t>
  </si>
  <si>
    <t>Non-Regulated</t>
  </si>
  <si>
    <t>Empire Disposal, Inc. G-75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</si>
  <si>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</si>
  <si>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</si>
  <si>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</si>
  <si>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</si>
  <si>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</si>
  <si>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</si>
  <si>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</si>
  <si>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Whitman Dump Fee Calculation</t>
  </si>
  <si>
    <t>Tariff Page</t>
  </si>
  <si>
    <t>Scheduled Service</t>
  </si>
  <si>
    <t>Tariff Rate Increase</t>
  </si>
  <si>
    <t>Company Calculated Rate</t>
  </si>
  <si>
    <t>Company Increased Revenue</t>
  </si>
  <si>
    <t>Check</t>
  </si>
  <si>
    <t>Revised Tariff Rate</t>
  </si>
  <si>
    <t>Revised Revenue</t>
  </si>
  <si>
    <t>Revised Revenue Increase</t>
  </si>
  <si>
    <t xml:space="preserve"> Company Over/ (Under)</t>
  </si>
  <si>
    <t>Totals</t>
  </si>
  <si>
    <t>Current Tariff Rate</t>
  </si>
  <si>
    <t>Proposed Increase</t>
  </si>
  <si>
    <t>Whitman Disposal Summary</t>
  </si>
  <si>
    <t>Item 55, Pg. 21</t>
  </si>
  <si>
    <t>Item 100, Pg. 26</t>
  </si>
  <si>
    <t>Item 100, Pg. 27</t>
  </si>
  <si>
    <t>Item 150, Pg. 30</t>
  </si>
  <si>
    <t>Item 230, Pg. 36</t>
  </si>
  <si>
    <t>Item 240, Pg. 37</t>
  </si>
  <si>
    <t>Item 245, Pg 38</t>
  </si>
  <si>
    <t>Item 255, Pg 39</t>
  </si>
  <si>
    <t>90 Gal Special PU</t>
  </si>
  <si>
    <t>65 Gal Special PU</t>
  </si>
  <si>
    <t>32 Gal Special PU</t>
  </si>
  <si>
    <t>Resi.</t>
  </si>
  <si>
    <t>Roll-Off</t>
  </si>
  <si>
    <t>Empire Dump Fee Calc References</t>
  </si>
  <si>
    <t>Comm.</t>
  </si>
  <si>
    <t>Empire Disposal Inc.</t>
  </si>
  <si>
    <t>BILL AREAS: ALBION, COLFAX, MALDEN, OAKESDALE, PALOUSE, UNIONTOWN, WHITMAN COUNTY</t>
  </si>
  <si>
    <t>Whitman Co. Regulated - Price Out</t>
  </si>
  <si>
    <t>LG Check</t>
  </si>
  <si>
    <t>Avg Cust</t>
  </si>
  <si>
    <t>Packer &amp; Roll-off</t>
  </si>
  <si>
    <t>Recycling</t>
  </si>
  <si>
    <t>Medical Waste</t>
  </si>
  <si>
    <t>Annual Increase</t>
  </si>
  <si>
    <t>Proposed</t>
  </si>
  <si>
    <t>per Month</t>
  </si>
  <si>
    <t>Tariff Rate</t>
  </si>
  <si>
    <t>Annual Revenue</t>
  </si>
  <si>
    <t>Plug to Match LG</t>
  </si>
  <si>
    <t>TRIP-RES</t>
  </si>
  <si>
    <t>TRIP FEE - RES</t>
  </si>
  <si>
    <t>RL001.0Y1W002</t>
  </si>
  <si>
    <t>RL 1 YD 1X WK 2</t>
  </si>
  <si>
    <t>RL003.0Y3W002</t>
  </si>
  <si>
    <t>RL 3 YD 3X WK 2</t>
  </si>
  <si>
    <t>RL004.0Y2W001</t>
  </si>
  <si>
    <t>RL 4 YD 2X WK 1</t>
  </si>
  <si>
    <t>RL8C-OC</t>
  </si>
  <si>
    <t>8 YD ON CALL - COMM</t>
  </si>
  <si>
    <t>RL90C-OC</t>
  </si>
  <si>
    <t>1 RL 90 GL ON CALL-COMM</t>
  </si>
  <si>
    <t>CLEAN1YD-COMM</t>
  </si>
  <si>
    <t>CONT CLEAN 1 YD - COMM</t>
  </si>
  <si>
    <t>PUREDEL1-COMM</t>
  </si>
  <si>
    <t>PU/REDEL UP TO 8 YDS - COMM</t>
  </si>
  <si>
    <t>DIST-COM</t>
  </si>
  <si>
    <t>DISTANCE FEE - COMM</t>
  </si>
  <si>
    <t>COMMERCIAL RECYCLING (NON-REG)</t>
  </si>
  <si>
    <t>HAULMEDADDL6-COMM</t>
  </si>
  <si>
    <t>MED WASTE ADDL CONT 6+</t>
  </si>
  <si>
    <t>HAULMEDADDL-COMM</t>
  </si>
  <si>
    <t>MED WASTE ADDL CONT 2-5</t>
  </si>
  <si>
    <t>Garbage Check</t>
  </si>
  <si>
    <t>Spokane Co</t>
  </si>
  <si>
    <t>Resi</t>
  </si>
  <si>
    <t>Whitman Co</t>
  </si>
  <si>
    <t>Comm</t>
  </si>
  <si>
    <t>RO</t>
  </si>
  <si>
    <t>Per LG</t>
  </si>
  <si>
    <t>Note from Heather Garland: Customer Counts and Disposal Schedule have been copied from TG-180153.</t>
  </si>
  <si>
    <t>Note from Heather Garland: Customer Counts and Disposal Schedule have been copied from TG-180153.  The information shaded gray was taken directly from the audited file.</t>
  </si>
  <si>
    <t>Effective 1-1-2019</t>
  </si>
  <si>
    <t>Proposed Whitman Rates Effective 1-1-2019</t>
  </si>
  <si>
    <t>Jan. 1, 2017 - Dec. 31, 2017</t>
  </si>
  <si>
    <t>New 1/1/2019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</si>
</sst>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_(&quot;$&quot;* #,##0.000_);_(&quot;$&quot;* \(#,##0.000\);_(&quot;$&quot;* &quot;-&quot;??_);_(@_)"/>
    <numFmt numFmtId="168" formatCode="_(* #,##0.000000_);_(* \(#,##0.000000\);_(* &quot;-&quot;??_);_(@_)"/>
    <numFmt numFmtId="169" formatCode="_(&quot;$&quot;* #,##0.000000_);_(&quot;$&quot;* \(#,##0.000000\);_(&quot;$&quot;* &quot;-&quot;??_);_(@_)"/>
    <numFmt numFmtId="170" formatCode="0.0000%"/>
    <numFmt numFmtId="171" formatCode="0.000000"/>
    <numFmt numFmtId="172" formatCode="&quot;$&quot;#,##0\ ;\(&quot;$&quot;#,##0\)"/>
    <numFmt numFmtId="173" formatCode="_([$$-409]* #,##0.00_);_([$$-409]* \(#,##0.00\);_([$$-409]* &quot;-&quot;??_);_(@_)"/>
    <numFmt numFmtId="174" formatCode="_(&quot;$&quot;* #,##0_);_(&quot;$&quot;* \(#,##0\);_(&quot;$&quot;* &quot;-&quot;??_);_(@_)"/>
    <numFmt numFmtId="175" formatCode="mm\-yy;\-0;;@"/>
    <numFmt numFmtId="176" formatCode=".00#####;\-.00####;;@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1"/>
      <name val="Calibri"/>
      <family val="2"/>
    </font>
    <font>
      <sz val="12"/>
      <name val="CG Omega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singleAccounting"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3366FF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b/>
      <sz val="11"/>
      <color indexed="18"/>
      <name val="Britannic Bold"/>
      <family val="2"/>
    </font>
    <font>
      <sz val="12"/>
      <color theme="1"/>
      <name val="Calibri"/>
      <family val="2"/>
      <scheme val="minor"/>
    </font>
    <font>
      <sz val="11"/>
      <name val="Bookman Old Style"/>
      <family val="1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7.5"/>
      <color indexed="12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9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7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3" fillId="27" borderId="0">
      <alignment horizontal="center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" fillId="0" borderId="0"/>
    <xf numFmtId="0" fontId="12" fillId="0" borderId="0"/>
    <xf numFmtId="0" fontId="12" fillId="0" borderId="0"/>
    <xf numFmtId="0" fontId="13" fillId="28" borderId="6" applyAlignment="0">
      <alignment horizontal="right"/>
      <protection locked="0"/>
    </xf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9" borderId="0">
      <alignment horizontal="right"/>
      <protection locked="0"/>
    </xf>
    <xf numFmtId="14" fontId="3" fillId="0" borderId="0"/>
    <xf numFmtId="0" fontId="16" fillId="0" borderId="0" applyNumberFormat="0" applyFill="0" applyBorder="0" applyAlignment="0" applyProtection="0"/>
    <xf numFmtId="2" fontId="15" fillId="29" borderId="0">
      <alignment horizontal="right"/>
      <protection locked="0"/>
    </xf>
    <xf numFmtId="1" fontId="3" fillId="0" borderId="0">
      <alignment horizontal="center"/>
    </xf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3" fontId="29" fillId="31" borderId="0">
      <protection locked="0"/>
    </xf>
    <xf numFmtId="4" fontId="29" fillId="31" borderId="0">
      <protection locked="0"/>
    </xf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43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166" fontId="36" fillId="0" borderId="0" applyNumberFormat="0"/>
    <xf numFmtId="0" fontId="22" fillId="24" borderId="18" applyNumberFormat="0" applyAlignment="0" applyProtection="0"/>
    <xf numFmtId="0" fontId="37" fillId="24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ont="0" applyFill="0" applyBorder="0" applyAlignment="0" applyProtection="0">
      <alignment horizontal="left"/>
    </xf>
    <xf numFmtId="0" fontId="39" fillId="0" borderId="20">
      <alignment horizont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Border="0" applyAlignment="0"/>
    <xf numFmtId="37" fontId="41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5" fillId="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47" fillId="0" borderId="0" applyNumberFormat="0" applyFont="0" applyFill="0" applyBorder="0">
      <alignment horizontal="left" indent="4"/>
      <protection locked="0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34" borderId="0" applyNumberFormat="0" applyFont="0" applyBorder="0" applyAlignment="0" applyProtection="0"/>
    <xf numFmtId="0" fontId="31" fillId="0" borderId="0" applyNumberFormat="0" applyFill="0" applyBorder="0" applyAlignment="0" applyProtection="0"/>
    <xf numFmtId="164" fontId="35" fillId="35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2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6" fillId="7" borderId="0" applyNumberFormat="0" applyBorder="0" applyAlignment="0" applyProtection="0"/>
    <xf numFmtId="0" fontId="7" fillId="24" borderId="3" applyNumberFormat="0" applyAlignment="0" applyProtection="0"/>
    <xf numFmtId="0" fontId="50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3" fillId="0" borderId="0"/>
    <xf numFmtId="0" fontId="17" fillId="9" borderId="0" applyNumberFormat="0" applyBorder="0" applyAlignment="0" applyProtection="0"/>
    <xf numFmtId="0" fontId="49" fillId="37" borderId="0" applyNumberFormat="0" applyBorder="0" applyAlignment="0" applyProtection="0"/>
    <xf numFmtId="0" fontId="18" fillId="0" borderId="7" applyNumberFormat="0" applyFill="0" applyAlignment="0" applyProtection="0"/>
    <xf numFmtId="0" fontId="52" fillId="0" borderId="25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53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4" fillId="0" borderId="26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0" fontId="30" fillId="0" borderId="15" applyNumberFormat="0" applyFill="0" applyAlignment="0" applyProtection="0"/>
    <xf numFmtId="0" fontId="55" fillId="0" borderId="27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56" fillId="10" borderId="0" applyNumberFormat="0" applyBorder="0" applyAlignment="0" applyProtection="0"/>
    <xf numFmtId="0" fontId="33" fillId="10" borderId="0" applyNumberFormat="0" applyBorder="0" applyAlignment="0" applyProtection="0"/>
    <xf numFmtId="0" fontId="4" fillId="0" borderId="0"/>
    <xf numFmtId="0" fontId="4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1" fillId="0" borderId="0"/>
    <xf numFmtId="0" fontId="57" fillId="0" borderId="0"/>
    <xf numFmtId="0" fontId="4" fillId="0" borderId="0"/>
    <xf numFmtId="0" fontId="51" fillId="0" borderId="0"/>
    <xf numFmtId="0" fontId="3" fillId="0" borderId="0"/>
    <xf numFmtId="0" fontId="1" fillId="0" borderId="0"/>
    <xf numFmtId="0" fontId="5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5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165" fontId="3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1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0" fontId="37" fillId="24" borderId="19" applyNumberForma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8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4" fillId="2" borderId="0" applyNumberFormat="0" applyBorder="0" applyAlignment="0" applyProtection="0"/>
    <xf numFmtId="0" fontId="4" fillId="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4" fillId="2" borderId="0" applyNumberFormat="0" applyBorder="0" applyAlignment="0" applyProtection="0"/>
    <xf numFmtId="0" fontId="4" fillId="11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" fillId="9" borderId="0" applyNumberFormat="0" applyBorder="0" applyAlignment="0" applyProtection="0"/>
    <xf numFmtId="0" fontId="80" fillId="4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80" fillId="53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80" fillId="57" borderId="0" applyNumberFormat="0" applyBorder="0" applyAlignment="0" applyProtection="0"/>
    <xf numFmtId="0" fontId="5" fillId="2" borderId="0" applyNumberFormat="0" applyBorder="0" applyAlignment="0" applyProtection="0"/>
    <xf numFmtId="0" fontId="5" fillId="11" borderId="0" applyNumberFormat="0" applyBorder="0" applyAlignment="0" applyProtection="0"/>
    <xf numFmtId="0" fontId="80" fillId="61" borderId="0" applyNumberFormat="0" applyBorder="0" applyAlignment="0" applyProtection="0"/>
    <xf numFmtId="0" fontId="5" fillId="9" borderId="0" applyNumberFormat="0" applyBorder="0" applyAlignment="0" applyProtection="0"/>
    <xf numFmtId="0" fontId="80" fillId="65" borderId="0" applyNumberFormat="0" applyBorder="0" applyAlignment="0" applyProtection="0"/>
    <xf numFmtId="0" fontId="80" fillId="69" borderId="0" applyNumberFormat="0" applyBorder="0" applyAlignment="0" applyProtection="0"/>
    <xf numFmtId="0" fontId="5" fillId="19" borderId="0" applyNumberFormat="0" applyBorder="0" applyAlignment="0" applyProtection="0"/>
    <xf numFmtId="0" fontId="80" fillId="46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80" fillId="50" borderId="0" applyNumberFormat="0" applyBorder="0" applyAlignment="0" applyProtection="0"/>
    <xf numFmtId="0" fontId="5" fillId="12" borderId="0" applyNumberFormat="0" applyBorder="0" applyAlignment="0" applyProtection="0"/>
    <xf numFmtId="0" fontId="80" fillId="5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80" fillId="58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80" fillId="62" borderId="0" applyNumberFormat="0" applyBorder="0" applyAlignment="0" applyProtection="0"/>
    <xf numFmtId="0" fontId="5" fillId="20" borderId="0" applyNumberFormat="0" applyBorder="0" applyAlignment="0" applyProtection="0"/>
    <xf numFmtId="0" fontId="80" fillId="66" borderId="0" applyNumberFormat="0" applyBorder="0" applyAlignment="0" applyProtection="0"/>
    <xf numFmtId="49" fontId="99" fillId="0" borderId="0" applyFill="0" applyBorder="0" applyAlignment="0" applyProtection="0"/>
    <xf numFmtId="0" fontId="100" fillId="0" borderId="29" applyBorder="0">
      <alignment horizontal="center" vertical="center" wrapText="1"/>
    </xf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72" fillId="40" borderId="0" applyNumberFormat="0" applyBorder="0" applyAlignment="0" applyProtection="0"/>
    <xf numFmtId="0" fontId="8" fillId="24" borderId="3" applyNumberFormat="0" applyAlignment="0" applyProtection="0"/>
    <xf numFmtId="0" fontId="76" fillId="43" borderId="4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78" fillId="44" borderId="46" applyNumberFormat="0" applyAlignment="0" applyProtection="0"/>
    <xf numFmtId="0" fontId="101" fillId="70" borderId="0" applyNumberFormat="0" applyBorder="0" applyAlignment="0" applyProtection="0">
      <alignment horizontal="center"/>
      <protection hidden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18" fillId="0" borderId="9" applyNumberFormat="0" applyFill="0" applyAlignment="0" applyProtection="0"/>
    <xf numFmtId="0" fontId="69" fillId="0" borderId="40" applyNumberFormat="0" applyFill="0" applyAlignment="0" applyProtection="0"/>
    <xf numFmtId="0" fontId="20" fillId="0" borderId="11" applyNumberFormat="0" applyFill="0" applyAlignment="0" applyProtection="0"/>
    <xf numFmtId="0" fontId="70" fillId="0" borderId="41" applyNumberFormat="0" applyFill="0" applyAlignment="0" applyProtection="0"/>
    <xf numFmtId="0" fontId="22" fillId="0" borderId="14" applyNumberFormat="0" applyFill="0" applyAlignment="0" applyProtection="0"/>
    <xf numFmtId="0" fontId="71" fillId="0" borderId="42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74" fillId="42" borderId="43" applyNumberFormat="0" applyAlignment="0" applyProtection="0"/>
    <xf numFmtId="0" fontId="100" fillId="0" borderId="29" applyBorder="0">
      <alignment horizontal="center" vertical="center" wrapText="1"/>
    </xf>
    <xf numFmtId="0" fontId="31" fillId="0" borderId="16" applyNumberFormat="0" applyFill="0" applyAlignment="0" applyProtection="0"/>
    <xf numFmtId="0" fontId="77" fillId="0" borderId="45" applyNumberFormat="0" applyFill="0" applyAlignment="0" applyProtection="0"/>
    <xf numFmtId="0" fontId="33" fillId="10" borderId="0" applyNumberFormat="0" applyBorder="0" applyAlignment="0" applyProtection="0"/>
    <xf numFmtId="0" fontId="73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57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40" fontId="103" fillId="0" borderId="0"/>
    <xf numFmtId="0" fontId="3" fillId="0" borderId="0"/>
    <xf numFmtId="40" fontId="10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4" fillId="0" borderId="0"/>
    <xf numFmtId="0" fontId="11" fillId="0" borderId="0">
      <alignment vertical="top"/>
    </xf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4" fillId="0" borderId="0"/>
    <xf numFmtId="0" fontId="34" fillId="0" borderId="0"/>
    <xf numFmtId="0" fontId="1" fillId="0" borderId="0"/>
    <xf numFmtId="0" fontId="11" fillId="0" borderId="0">
      <alignment vertical="top"/>
    </xf>
    <xf numFmtId="0" fontId="3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" borderId="17" applyNumberFormat="0" applyFont="0" applyAlignment="0" applyProtection="0"/>
    <xf numFmtId="0" fontId="4" fillId="6" borderId="17" applyNumberFormat="0" applyFont="0" applyAlignment="0" applyProtection="0"/>
    <xf numFmtId="0" fontId="1" fillId="45" borderId="47" applyNumberFormat="0" applyFont="0" applyAlignment="0" applyProtection="0"/>
    <xf numFmtId="0" fontId="1" fillId="45" borderId="47" applyNumberFormat="0" applyFont="0" applyAlignment="0" applyProtection="0"/>
    <xf numFmtId="0" fontId="22" fillId="24" borderId="18" applyNumberFormat="0" applyAlignment="0" applyProtection="0"/>
    <xf numFmtId="0" fontId="37" fillId="24" borderId="19" applyNumberFormat="0" applyAlignment="0" applyProtection="0"/>
    <xf numFmtId="0" fontId="37" fillId="24" borderId="19" applyNumberFormat="0" applyAlignment="0" applyProtection="0"/>
    <xf numFmtId="0" fontId="75" fillId="43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175" fontId="14" fillId="0" borderId="0">
      <alignment horizontal="center"/>
    </xf>
    <xf numFmtId="0" fontId="11" fillId="0" borderId="0" applyNumberFormat="0" applyBorder="0" applyAlignment="0"/>
    <xf numFmtId="176" fontId="108" fillId="71" borderId="0" applyFill="0" applyBorder="0" applyProtection="0">
      <alignment horizontal="center"/>
      <protection hidden="1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0" borderId="48" applyNumberFormat="0" applyFill="0" applyAlignment="0" applyProtection="0"/>
    <xf numFmtId="0" fontId="109" fillId="0" borderId="0">
      <alignment horizontal="center"/>
    </xf>
    <xf numFmtId="0" fontId="46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 applyFont="1"/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43" fontId="0" fillId="0" borderId="0" xfId="80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45" fillId="0" borderId="0" xfId="0" applyFont="1"/>
    <xf numFmtId="43" fontId="0" fillId="0" borderId="0" xfId="80" applyFont="1" applyAlignment="1">
      <alignment horizontal="center"/>
    </xf>
    <xf numFmtId="0" fontId="0" fillId="0" borderId="0" xfId="0" applyFont="1" applyAlignment="1">
      <alignment horizontal="left" indent="1"/>
    </xf>
    <xf numFmtId="164" fontId="0" fillId="0" borderId="0" xfId="80" applyNumberFormat="1" applyFont="1"/>
    <xf numFmtId="0" fontId="0" fillId="33" borderId="0" xfId="0" applyFont="1" applyFill="1" applyAlignment="1">
      <alignment horizontal="center"/>
    </xf>
    <xf numFmtId="0" fontId="46" fillId="0" borderId="0" xfId="0" applyFont="1" applyFill="1"/>
    <xf numFmtId="0" fontId="46" fillId="0" borderId="0" xfId="0" applyFont="1" applyFill="1" applyAlignment="1">
      <alignment horizontal="center"/>
    </xf>
    <xf numFmtId="0" fontId="0" fillId="32" borderId="6" xfId="0" applyFont="1" applyFill="1" applyBorder="1" applyAlignment="1">
      <alignment horizontal="center"/>
    </xf>
    <xf numFmtId="0" fontId="0" fillId="0" borderId="0" xfId="0" applyFont="1" applyBorder="1"/>
    <xf numFmtId="168" fontId="0" fillId="0" borderId="0" xfId="80" applyNumberFormat="1" applyFont="1"/>
    <xf numFmtId="168" fontId="0" fillId="0" borderId="0" xfId="80" applyNumberFormat="1" applyFont="1" applyBorder="1"/>
    <xf numFmtId="168" fontId="0" fillId="0" borderId="6" xfId="80" applyNumberFormat="1" applyFont="1" applyBorder="1"/>
    <xf numFmtId="170" fontId="0" fillId="0" borderId="0" xfId="0" applyNumberFormat="1" applyFont="1"/>
    <xf numFmtId="171" fontId="0" fillId="0" borderId="0" xfId="0" applyNumberFormat="1" applyFont="1"/>
    <xf numFmtId="0" fontId="0" fillId="0" borderId="0" xfId="0" applyFont="1" applyBorder="1" applyAlignment="1">
      <alignment horizontal="left"/>
    </xf>
    <xf numFmtId="164" fontId="0" fillId="0" borderId="0" xfId="80" applyNumberFormat="1" applyFont="1" applyFill="1" applyBorder="1"/>
    <xf numFmtId="0" fontId="45" fillId="0" borderId="0" xfId="0" applyFont="1" applyFill="1" applyBorder="1"/>
    <xf numFmtId="44" fontId="0" fillId="0" borderId="0" xfId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167" fontId="0" fillId="0" borderId="0" xfId="1" applyNumberFormat="1" applyFont="1" applyFill="1" applyBorder="1"/>
    <xf numFmtId="169" fontId="0" fillId="0" borderId="0" xfId="1" applyNumberFormat="1" applyFont="1" applyFill="1" applyBorder="1"/>
    <xf numFmtId="44" fontId="0" fillId="0" borderId="0" xfId="0" applyNumberFormat="1" applyFont="1" applyFill="1" applyBorder="1"/>
    <xf numFmtId="44" fontId="45" fillId="0" borderId="0" xfId="0" applyNumberFormat="1" applyFont="1" applyFill="1" applyBorder="1"/>
    <xf numFmtId="3" fontId="0" fillId="0" borderId="0" xfId="1" applyNumberFormat="1" applyFont="1" applyFill="1" applyBorder="1"/>
    <xf numFmtId="0" fontId="0" fillId="0" borderId="0" xfId="0" applyFont="1" applyFill="1" applyBorder="1" applyAlignment="1">
      <alignment horizontal="center"/>
    </xf>
    <xf numFmtId="164" fontId="45" fillId="0" borderId="6" xfId="332" applyNumberFormat="1" applyFont="1" applyBorder="1" applyAlignment="1">
      <alignment horizontal="center"/>
    </xf>
    <xf numFmtId="164" fontId="0" fillId="0" borderId="0" xfId="332" applyNumberFormat="1" applyFont="1" applyBorder="1"/>
    <xf numFmtId="164" fontId="0" fillId="0" borderId="0" xfId="332" applyNumberFormat="1" applyFont="1" applyBorder="1" applyAlignment="1">
      <alignment horizontal="right"/>
    </xf>
    <xf numFmtId="3" fontId="0" fillId="0" borderId="0" xfId="0" applyNumberFormat="1" applyFont="1" applyFill="1" applyBorder="1"/>
    <xf numFmtId="0" fontId="45" fillId="0" borderId="0" xfId="0" applyFont="1" applyFill="1"/>
    <xf numFmtId="3" fontId="0" fillId="0" borderId="0" xfId="0" applyNumberFormat="1" applyFont="1" applyAlignment="1">
      <alignment horizontal="center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45" fillId="36" borderId="0" xfId="0" applyFont="1" applyFill="1" applyBorder="1"/>
    <xf numFmtId="164" fontId="0" fillId="36" borderId="0" xfId="332" applyNumberFormat="1" applyFont="1" applyFill="1" applyBorder="1"/>
    <xf numFmtId="0" fontId="0" fillId="0" borderId="0" xfId="0" applyFont="1" applyBorder="1" applyAlignment="1">
      <alignment horizontal="center"/>
    </xf>
    <xf numFmtId="0" fontId="48" fillId="0" borderId="0" xfId="314" applyFont="1" applyBorder="1"/>
    <xf numFmtId="0" fontId="48" fillId="0" borderId="6" xfId="314" applyFont="1" applyBorder="1"/>
    <xf numFmtId="164" fontId="0" fillId="0" borderId="6" xfId="332" applyNumberFormat="1" applyFont="1" applyBorder="1"/>
    <xf numFmtId="0" fontId="48" fillId="0" borderId="24" xfId="316" applyFont="1" applyBorder="1"/>
    <xf numFmtId="164" fontId="0" fillId="0" borderId="24" xfId="332" applyNumberFormat="1" applyFont="1" applyBorder="1"/>
    <xf numFmtId="164" fontId="0" fillId="0" borderId="24" xfId="332" applyNumberFormat="1" applyFont="1" applyFill="1" applyBorder="1"/>
    <xf numFmtId="0" fontId="48" fillId="0" borderId="0" xfId="316" applyFont="1" applyBorder="1"/>
    <xf numFmtId="164" fontId="0" fillId="0" borderId="0" xfId="332" applyNumberFormat="1" applyFont="1" applyFill="1" applyBorder="1"/>
    <xf numFmtId="0" fontId="48" fillId="0" borderId="0" xfId="317" applyFont="1" applyBorder="1"/>
    <xf numFmtId="0" fontId="0" fillId="33" borderId="0" xfId="0" applyFont="1" applyFill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Fill="1"/>
    <xf numFmtId="44" fontId="0" fillId="0" borderId="0" xfId="0" applyNumberFormat="1" applyFont="1" applyFill="1"/>
    <xf numFmtId="0" fontId="0" fillId="0" borderId="0" xfId="0" applyFont="1" applyAlignment="1">
      <alignment horizontal="center"/>
    </xf>
    <xf numFmtId="43" fontId="48" fillId="0" borderId="0" xfId="462" applyNumberFormat="1" applyFont="1" applyFill="1"/>
    <xf numFmtId="10" fontId="0" fillId="0" borderId="0" xfId="2" applyNumberFormat="1" applyFont="1"/>
    <xf numFmtId="0" fontId="61" fillId="32" borderId="6" xfId="0" applyFont="1" applyFill="1" applyBorder="1" applyAlignment="1"/>
    <xf numFmtId="42" fontId="45" fillId="0" borderId="24" xfId="0" applyNumberFormat="1" applyFont="1" applyBorder="1"/>
    <xf numFmtId="3" fontId="0" fillId="32" borderId="6" xfId="0" applyNumberFormat="1" applyFont="1" applyFill="1" applyBorder="1" applyAlignment="1">
      <alignment horizontal="center"/>
    </xf>
    <xf numFmtId="0" fontId="64" fillId="0" borderId="0" xfId="0" applyFont="1" applyFill="1" applyAlignment="1">
      <alignment horizontal="left"/>
    </xf>
    <xf numFmtId="0" fontId="0" fillId="32" borderId="6" xfId="0" applyFont="1" applyFill="1" applyBorder="1"/>
    <xf numFmtId="0" fontId="45" fillId="32" borderId="6" xfId="0" applyFont="1" applyFill="1" applyBorder="1"/>
    <xf numFmtId="0" fontId="45" fillId="0" borderId="0" xfId="0" applyFont="1" applyBorder="1"/>
    <xf numFmtId="0" fontId="45" fillId="0" borderId="0" xfId="0" applyFont="1" applyFill="1" applyBorder="1"/>
    <xf numFmtId="0" fontId="0" fillId="32" borderId="6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0" fillId="0" borderId="0" xfId="0" applyFont="1" applyFill="1" applyBorder="1"/>
    <xf numFmtId="42" fontId="45" fillId="0" borderId="0" xfId="0" applyNumberFormat="1" applyFont="1" applyBorder="1"/>
    <xf numFmtId="0" fontId="45" fillId="0" borderId="0" xfId="0" applyFont="1"/>
    <xf numFmtId="0" fontId="0" fillId="0" borderId="0" xfId="0" applyFont="1"/>
    <xf numFmtId="0" fontId="45" fillId="0" borderId="0" xfId="0" applyFont="1"/>
    <xf numFmtId="0" fontId="45" fillId="32" borderId="6" xfId="0" applyFont="1" applyFill="1" applyBorder="1" applyAlignment="1">
      <alignment horizontal="center" wrapText="1"/>
    </xf>
    <xf numFmtId="0" fontId="45" fillId="0" borderId="0" xfId="0" applyFont="1" applyBorder="1"/>
    <xf numFmtId="43" fontId="0" fillId="33" borderId="0" xfId="332" applyFont="1" applyFill="1"/>
    <xf numFmtId="43" fontId="45" fillId="0" borderId="0" xfId="332" applyFont="1"/>
    <xf numFmtId="164" fontId="0" fillId="0" borderId="0" xfId="332" applyNumberFormat="1" applyFont="1"/>
    <xf numFmtId="164" fontId="45" fillId="32" borderId="6" xfId="332" applyNumberFormat="1" applyFont="1" applyFill="1" applyBorder="1"/>
    <xf numFmtId="164" fontId="0" fillId="32" borderId="6" xfId="332" applyNumberFormat="1" applyFont="1" applyFill="1" applyBorder="1"/>
    <xf numFmtId="164" fontId="0" fillId="0" borderId="0" xfId="332" applyNumberFormat="1" applyFont="1" applyFill="1"/>
    <xf numFmtId="164" fontId="45" fillId="0" borderId="0" xfId="332" applyNumberFormat="1" applyFont="1"/>
    <xf numFmtId="164" fontId="0" fillId="36" borderId="0" xfId="332" applyNumberFormat="1" applyFont="1" applyFill="1" applyBorder="1" applyAlignment="1">
      <alignment horizontal="right"/>
    </xf>
    <xf numFmtId="164" fontId="0" fillId="0" borderId="6" xfId="332" applyNumberFormat="1" applyFont="1" applyBorder="1" applyAlignment="1">
      <alignment horizontal="right"/>
    </xf>
    <xf numFmtId="164" fontId="0" fillId="0" borderId="24" xfId="332" applyNumberFormat="1" applyFont="1" applyBorder="1" applyAlignment="1">
      <alignment horizontal="right"/>
    </xf>
    <xf numFmtId="164" fontId="0" fillId="0" borderId="0" xfId="332" applyNumberFormat="1" applyFont="1" applyFill="1" applyBorder="1" applyAlignment="1"/>
    <xf numFmtId="43" fontId="0" fillId="0" borderId="0" xfId="332" applyNumberFormat="1" applyFont="1"/>
    <xf numFmtId="43" fontId="0" fillId="32" borderId="6" xfId="332" applyNumberFormat="1" applyFont="1" applyFill="1" applyBorder="1"/>
    <xf numFmtId="43" fontId="0" fillId="36" borderId="0" xfId="332" applyNumberFormat="1" applyFont="1" applyFill="1" applyBorder="1"/>
    <xf numFmtId="43" fontId="0" fillId="0" borderId="0" xfId="332" applyNumberFormat="1" applyFont="1" applyBorder="1"/>
    <xf numFmtId="43" fontId="0" fillId="0" borderId="6" xfId="332" applyNumberFormat="1" applyFont="1" applyBorder="1"/>
    <xf numFmtId="43" fontId="0" fillId="0" borderId="24" xfId="332" applyNumberFormat="1" applyFont="1" applyFill="1" applyBorder="1"/>
    <xf numFmtId="43" fontId="0" fillId="0" borderId="0" xfId="332" applyNumberFormat="1" applyFont="1" applyFill="1" applyBorder="1"/>
    <xf numFmtId="43" fontId="0" fillId="0" borderId="0" xfId="332" applyNumberFormat="1" applyFont="1" applyFill="1" applyBorder="1" applyAlignment="1"/>
    <xf numFmtId="173" fontId="0" fillId="0" borderId="0" xfId="0" applyNumberFormat="1" applyFont="1"/>
    <xf numFmtId="173" fontId="0" fillId="0" borderId="0" xfId="0" applyNumberFormat="1" applyFont="1" applyFill="1"/>
    <xf numFmtId="173" fontId="45" fillId="32" borderId="6" xfId="0" applyNumberFormat="1" applyFont="1" applyFill="1" applyBorder="1"/>
    <xf numFmtId="173" fontId="0" fillId="32" borderId="6" xfId="0" applyNumberFormat="1" applyFont="1" applyFill="1" applyBorder="1"/>
    <xf numFmtId="173" fontId="45" fillId="0" borderId="0" xfId="0" applyNumberFormat="1" applyFont="1"/>
    <xf numFmtId="173" fontId="0" fillId="36" borderId="0" xfId="332" applyNumberFormat="1" applyFont="1" applyFill="1" applyBorder="1"/>
    <xf numFmtId="173" fontId="0" fillId="36" borderId="0" xfId="0" applyNumberFormat="1" applyFont="1" applyFill="1" applyBorder="1"/>
    <xf numFmtId="173" fontId="0" fillId="0" borderId="0" xfId="1" applyNumberFormat="1" applyFont="1" applyBorder="1"/>
    <xf numFmtId="173" fontId="0" fillId="0" borderId="6" xfId="0" applyNumberFormat="1" applyFont="1" applyBorder="1"/>
    <xf numFmtId="173" fontId="0" fillId="0" borderId="6" xfId="1" applyNumberFormat="1" applyFont="1" applyBorder="1"/>
    <xf numFmtId="173" fontId="0" fillId="0" borderId="0" xfId="0" applyNumberFormat="1" applyFont="1" applyBorder="1"/>
    <xf numFmtId="173" fontId="0" fillId="0" borderId="24" xfId="0" applyNumberFormat="1" applyFont="1" applyBorder="1"/>
    <xf numFmtId="173" fontId="0" fillId="0" borderId="24" xfId="1" applyNumberFormat="1" applyFont="1" applyBorder="1"/>
    <xf numFmtId="173" fontId="0" fillId="0" borderId="0" xfId="1" applyNumberFormat="1" applyFont="1" applyFill="1" applyBorder="1"/>
    <xf numFmtId="173" fontId="0" fillId="0" borderId="0" xfId="0" applyNumberFormat="1"/>
    <xf numFmtId="173" fontId="0" fillId="39" borderId="0" xfId="0" applyNumberFormat="1" applyFont="1" applyFill="1"/>
    <xf numFmtId="0" fontId="60" fillId="39" borderId="37" xfId="0" applyFont="1" applyFill="1" applyBorder="1"/>
    <xf numFmtId="0" fontId="0" fillId="39" borderId="34" xfId="0" applyFont="1" applyFill="1" applyBorder="1"/>
    <xf numFmtId="0" fontId="0" fillId="39" borderId="33" xfId="0" applyFont="1" applyFill="1" applyBorder="1"/>
    <xf numFmtId="0" fontId="0" fillId="39" borderId="20" xfId="0" applyFont="1" applyFill="1" applyBorder="1"/>
    <xf numFmtId="43" fontId="48" fillId="39" borderId="0" xfId="4" quotePrefix="1" applyFont="1" applyFill="1" applyAlignment="1">
      <alignment horizontal="right"/>
    </xf>
    <xf numFmtId="43" fontId="61" fillId="39" borderId="0" xfId="4" applyFont="1" applyFill="1" applyBorder="1"/>
    <xf numFmtId="44" fontId="48" fillId="39" borderId="0" xfId="333" quotePrefix="1" applyFont="1" applyFill="1" applyAlignment="1">
      <alignment horizontal="right"/>
    </xf>
    <xf numFmtId="44" fontId="63" fillId="39" borderId="0" xfId="333" quotePrefix="1" applyFont="1" applyFill="1" applyBorder="1" applyAlignment="1">
      <alignment horizontal="right"/>
    </xf>
    <xf numFmtId="17" fontId="48" fillId="39" borderId="0" xfId="152" applyNumberFormat="1" applyFont="1" applyFill="1" applyAlignment="1">
      <alignment horizontal="left"/>
    </xf>
    <xf numFmtId="44" fontId="0" fillId="39" borderId="0" xfId="0" applyNumberFormat="1" applyFont="1" applyFill="1"/>
    <xf numFmtId="44" fontId="61" fillId="39" borderId="6" xfId="333" applyFont="1" applyFill="1" applyBorder="1" applyAlignment="1">
      <alignment horizontal="center"/>
    </xf>
    <xf numFmtId="43" fontId="0" fillId="39" borderId="0" xfId="0" applyNumberFormat="1" applyFont="1" applyFill="1" applyBorder="1"/>
    <xf numFmtId="43" fontId="61" fillId="39" borderId="31" xfId="4" applyFont="1" applyFill="1" applyBorder="1"/>
    <xf numFmtId="0" fontId="58" fillId="39" borderId="0" xfId="0" applyFont="1" applyFill="1"/>
    <xf numFmtId="0" fontId="59" fillId="39" borderId="32" xfId="0" applyFont="1" applyFill="1" applyBorder="1"/>
    <xf numFmtId="0" fontId="0" fillId="39" borderId="35" xfId="0" applyFont="1" applyFill="1" applyBorder="1"/>
    <xf numFmtId="0" fontId="0" fillId="39" borderId="36" xfId="0" applyFont="1" applyFill="1" applyBorder="1"/>
    <xf numFmtId="43" fontId="62" fillId="39" borderId="0" xfId="4" applyFont="1" applyFill="1" applyBorder="1"/>
    <xf numFmtId="44" fontId="62" fillId="39" borderId="0" xfId="333" applyFont="1" applyFill="1" applyBorder="1"/>
    <xf numFmtId="0" fontId="61" fillId="39" borderId="0" xfId="152" applyFont="1" applyFill="1"/>
    <xf numFmtId="3" fontId="0" fillId="0" borderId="0" xfId="0" applyNumberFormat="1" applyFont="1" applyFill="1" applyAlignment="1">
      <alignment horizontal="center"/>
    </xf>
    <xf numFmtId="44" fontId="48" fillId="39" borderId="0" xfId="333" applyFont="1" applyFill="1"/>
    <xf numFmtId="0" fontId="48" fillId="39" borderId="0" xfId="152" applyFont="1" applyFill="1"/>
    <xf numFmtId="43" fontId="48" fillId="39" borderId="0" xfId="4" applyFont="1" applyFill="1"/>
    <xf numFmtId="0" fontId="0" fillId="39" borderId="38" xfId="0" applyFont="1" applyFill="1" applyBorder="1"/>
    <xf numFmtId="43" fontId="61" fillId="39" borderId="6" xfId="4" applyFont="1" applyFill="1" applyBorder="1" applyAlignment="1">
      <alignment horizontal="center"/>
    </xf>
    <xf numFmtId="44" fontId="0" fillId="0" borderId="36" xfId="1" applyFont="1" applyFill="1" applyBorder="1"/>
    <xf numFmtId="43" fontId="63" fillId="39" borderId="0" xfId="4" quotePrefix="1" applyFont="1" applyFill="1" applyBorder="1" applyAlignment="1">
      <alignment horizontal="right"/>
    </xf>
    <xf numFmtId="43" fontId="0" fillId="39" borderId="6" xfId="0" applyNumberFormat="1" applyFont="1" applyFill="1" applyBorder="1"/>
    <xf numFmtId="10" fontId="0" fillId="39" borderId="0" xfId="2" applyNumberFormat="1" applyFont="1" applyFill="1" applyBorder="1"/>
    <xf numFmtId="0" fontId="0" fillId="0" borderId="24" xfId="0" applyFont="1" applyFill="1" applyBorder="1" applyAlignment="1">
      <alignment horizontal="center"/>
    </xf>
    <xf numFmtId="0" fontId="58" fillId="0" borderId="0" xfId="0" applyFont="1" applyBorder="1" applyAlignment="1"/>
    <xf numFmtId="0" fontId="45" fillId="0" borderId="0" xfId="0" applyFont="1" applyBorder="1"/>
    <xf numFmtId="0" fontId="0" fillId="33" borderId="0" xfId="0" applyFill="1"/>
    <xf numFmtId="43" fontId="0" fillId="0" borderId="0" xfId="332" applyFont="1"/>
    <xf numFmtId="0" fontId="0" fillId="0" borderId="0" xfId="0" applyFont="1"/>
    <xf numFmtId="10" fontId="0" fillId="0" borderId="0" xfId="2" applyNumberFormat="1" applyFont="1" applyBorder="1" applyAlignment="1">
      <alignment horizontal="right"/>
    </xf>
    <xf numFmtId="164" fontId="0" fillId="0" borderId="0" xfId="332" applyNumberFormat="1" applyFont="1" applyBorder="1" applyAlignment="1">
      <alignment horizontal="right"/>
    </xf>
    <xf numFmtId="164" fontId="0" fillId="0" borderId="0" xfId="332" applyNumberFormat="1" applyFont="1" applyBorder="1"/>
    <xf numFmtId="0" fontId="0" fillId="0" borderId="0" xfId="0" applyFont="1" applyBorder="1" applyAlignment="1">
      <alignment horizontal="center"/>
    </xf>
    <xf numFmtId="164" fontId="0" fillId="0" borderId="0" xfId="332" applyNumberFormat="1" applyFont="1" applyFill="1" applyBorder="1"/>
    <xf numFmtId="43" fontId="0" fillId="0" borderId="0" xfId="332" applyNumberFormat="1" applyFont="1" applyFill="1" applyBorder="1"/>
    <xf numFmtId="0" fontId="45" fillId="0" borderId="32" xfId="0" applyFont="1" applyBorder="1"/>
    <xf numFmtId="0" fontId="0" fillId="0" borderId="35" xfId="0" applyFont="1" applyBorder="1"/>
    <xf numFmtId="164" fontId="0" fillId="0" borderId="0" xfId="332" applyNumberFormat="1" applyFont="1" applyFill="1" applyBorder="1" applyAlignment="1">
      <alignment horizontal="right"/>
    </xf>
    <xf numFmtId="0" fontId="0" fillId="0" borderId="37" xfId="0" applyFont="1" applyBorder="1"/>
    <xf numFmtId="0" fontId="0" fillId="0" borderId="38" xfId="0" applyFont="1" applyBorder="1"/>
    <xf numFmtId="3" fontId="0" fillId="32" borderId="39" xfId="0" applyNumberFormat="1" applyFont="1" applyFill="1" applyBorder="1" applyAlignment="1">
      <alignment horizontal="center"/>
    </xf>
    <xf numFmtId="0" fontId="0" fillId="0" borderId="0" xfId="0" applyFont="1" applyFill="1"/>
    <xf numFmtId="43" fontId="45" fillId="32" borderId="0" xfId="332" applyFont="1" applyFill="1" applyBorder="1" applyAlignment="1">
      <alignment horizontal="center" wrapText="1"/>
    </xf>
    <xf numFmtId="0" fontId="45" fillId="39" borderId="6" xfId="0" applyFont="1" applyFill="1" applyBorder="1" applyAlignment="1">
      <alignment horizontal="center"/>
    </xf>
    <xf numFmtId="43" fontId="0" fillId="39" borderId="0" xfId="0" applyNumberFormat="1" applyFont="1" applyFill="1"/>
    <xf numFmtId="0" fontId="45" fillId="39" borderId="0" xfId="0" applyFont="1" applyFill="1" applyBorder="1"/>
    <xf numFmtId="0" fontId="0" fillId="39" borderId="0" xfId="0" applyFont="1" applyFill="1" applyBorder="1"/>
    <xf numFmtId="0" fontId="0" fillId="39" borderId="0" xfId="0" applyFont="1" applyFill="1"/>
    <xf numFmtId="0" fontId="0" fillId="0" borderId="0" xfId="0" applyFont="1" applyFill="1" applyBorder="1" applyAlignment="1">
      <alignment horizontal="center" vertical="center" textRotation="90"/>
    </xf>
    <xf numFmtId="44" fontId="0" fillId="0" borderId="0" xfId="1" applyFont="1" applyFill="1"/>
    <xf numFmtId="167" fontId="0" fillId="0" borderId="0" xfId="1" applyNumberFormat="1" applyFont="1" applyFill="1"/>
    <xf numFmtId="44" fontId="0" fillId="0" borderId="6" xfId="1" applyFont="1" applyFill="1" applyBorder="1"/>
    <xf numFmtId="167" fontId="0" fillId="0" borderId="6" xfId="1" applyNumberFormat="1" applyFont="1" applyFill="1" applyBorder="1"/>
    <xf numFmtId="169" fontId="0" fillId="0" borderId="0" xfId="1" applyNumberFormat="1" applyFont="1" applyFill="1"/>
    <xf numFmtId="43" fontId="0" fillId="0" borderId="0" xfId="332" applyNumberFormat="1" applyFont="1" applyFill="1"/>
    <xf numFmtId="0" fontId="0" fillId="0" borderId="0" xfId="0" applyFill="1"/>
    <xf numFmtId="10" fontId="0" fillId="0" borderId="0" xfId="2" applyNumberFormat="1" applyFont="1" applyFill="1" applyBorder="1"/>
    <xf numFmtId="44" fontId="0" fillId="0" borderId="0" xfId="0" applyNumberFormat="1" applyFont="1"/>
    <xf numFmtId="0" fontId="84" fillId="0" borderId="0" xfId="0" applyFont="1"/>
    <xf numFmtId="0" fontId="87" fillId="39" borderId="0" xfId="3" applyFont="1" applyFill="1" applyAlignment="1">
      <alignment horizontal="left"/>
    </xf>
    <xf numFmtId="0" fontId="84" fillId="39" borderId="0" xfId="0" applyFont="1" applyFill="1"/>
    <xf numFmtId="164" fontId="84" fillId="39" borderId="0" xfId="4" applyNumberFormat="1" applyFont="1" applyFill="1"/>
    <xf numFmtId="164" fontId="84" fillId="39" borderId="0" xfId="332" applyNumberFormat="1" applyFont="1" applyFill="1"/>
    <xf numFmtId="43" fontId="84" fillId="39" borderId="0" xfId="332" applyNumberFormat="1" applyFont="1" applyFill="1"/>
    <xf numFmtId="43" fontId="82" fillId="39" borderId="0" xfId="4" applyFont="1" applyFill="1" applyAlignment="1">
      <alignment horizontal="center"/>
    </xf>
    <xf numFmtId="43" fontId="82" fillId="39" borderId="0" xfId="4" applyFont="1" applyFill="1"/>
    <xf numFmtId="164" fontId="82" fillId="39" borderId="0" xfId="4" applyNumberFormat="1" applyFont="1" applyFill="1"/>
    <xf numFmtId="43" fontId="82" fillId="39" borderId="0" xfId="3" applyNumberFormat="1" applyFont="1" applyFill="1"/>
    <xf numFmtId="0" fontId="82" fillId="39" borderId="0" xfId="3" applyFont="1" applyFill="1"/>
    <xf numFmtId="164" fontId="82" fillId="39" borderId="0" xfId="332" applyNumberFormat="1" applyFont="1" applyFill="1"/>
    <xf numFmtId="43" fontId="82" fillId="39" borderId="0" xfId="332" applyNumberFormat="1" applyFont="1" applyFill="1"/>
    <xf numFmtId="0" fontId="82" fillId="39" borderId="0" xfId="3" applyFont="1" applyFill="1" applyBorder="1"/>
    <xf numFmtId="0" fontId="87" fillId="39" borderId="0" xfId="3" applyFont="1" applyFill="1" applyBorder="1" applyAlignment="1">
      <alignment horizontal="right"/>
    </xf>
    <xf numFmtId="44" fontId="92" fillId="39" borderId="1" xfId="333" applyFont="1" applyFill="1" applyBorder="1"/>
    <xf numFmtId="164" fontId="84" fillId="39" borderId="0" xfId="4" applyNumberFormat="1" applyFont="1" applyFill="1" applyBorder="1"/>
    <xf numFmtId="164" fontId="84" fillId="39" borderId="2" xfId="4" applyNumberFormat="1" applyFont="1" applyFill="1" applyBorder="1"/>
    <xf numFmtId="0" fontId="84" fillId="39" borderId="0" xfId="0" applyFont="1" applyFill="1" applyBorder="1"/>
    <xf numFmtId="164" fontId="84" fillId="39" borderId="1" xfId="332" applyNumberFormat="1" applyFont="1" applyFill="1" applyBorder="1"/>
    <xf numFmtId="43" fontId="84" fillId="39" borderId="0" xfId="332" applyNumberFormat="1" applyFont="1" applyFill="1" applyBorder="1"/>
    <xf numFmtId="43" fontId="0" fillId="0" borderId="0" xfId="332" applyFont="1" applyFill="1"/>
    <xf numFmtId="0" fontId="81" fillId="39" borderId="0" xfId="0" applyFont="1" applyFill="1"/>
    <xf numFmtId="0" fontId="92" fillId="39" borderId="0" xfId="3" applyFont="1" applyFill="1"/>
    <xf numFmtId="0" fontId="82" fillId="39" borderId="0" xfId="3" applyFont="1" applyFill="1" applyAlignment="1">
      <alignment horizontal="center"/>
    </xf>
    <xf numFmtId="0" fontId="85" fillId="39" borderId="0" xfId="3" applyFont="1" applyFill="1"/>
    <xf numFmtId="164" fontId="86" fillId="39" borderId="0" xfId="0" applyNumberFormat="1" applyFont="1" applyFill="1"/>
    <xf numFmtId="0" fontId="86" fillId="39" borderId="0" xfId="0" applyFont="1" applyFill="1"/>
    <xf numFmtId="0" fontId="83" fillId="39" borderId="0" xfId="3" applyFont="1" applyFill="1" applyAlignment="1">
      <alignment horizontal="left"/>
    </xf>
    <xf numFmtId="2" fontId="82" fillId="39" borderId="0" xfId="3" applyNumberFormat="1" applyFont="1" applyFill="1"/>
    <xf numFmtId="0" fontId="87" fillId="39" borderId="0" xfId="3" applyFont="1" applyFill="1" applyAlignment="1">
      <alignment horizontal="center" wrapText="1"/>
    </xf>
    <xf numFmtId="0" fontId="87" fillId="39" borderId="0" xfId="3" applyFont="1" applyFill="1" applyAlignment="1">
      <alignment horizontal="center"/>
    </xf>
    <xf numFmtId="1" fontId="87" fillId="39" borderId="0" xfId="3" applyNumberFormat="1" applyFont="1" applyFill="1" applyAlignment="1">
      <alignment horizontal="center"/>
    </xf>
    <xf numFmtId="0" fontId="81" fillId="39" borderId="0" xfId="0" applyFont="1" applyFill="1" applyAlignment="1">
      <alignment horizontal="center" wrapText="1"/>
    </xf>
    <xf numFmtId="0" fontId="81" fillId="39" borderId="0" xfId="0" applyFont="1" applyFill="1" applyAlignment="1">
      <alignment horizontal="center"/>
    </xf>
    <xf numFmtId="14" fontId="87" fillId="39" borderId="0" xfId="3" applyNumberFormat="1" applyFont="1" applyFill="1" applyAlignment="1">
      <alignment horizontal="center" wrapText="1"/>
    </xf>
    <xf numFmtId="10" fontId="81" fillId="39" borderId="0" xfId="2" applyNumberFormat="1" applyFont="1" applyFill="1" applyAlignment="1">
      <alignment horizontal="center" wrapText="1"/>
    </xf>
    <xf numFmtId="164" fontId="87" fillId="39" borderId="0" xfId="332" applyNumberFormat="1" applyFont="1" applyFill="1" applyAlignment="1">
      <alignment horizontal="center" wrapText="1"/>
    </xf>
    <xf numFmtId="43" fontId="81" fillId="39" borderId="0" xfId="332" applyNumberFormat="1" applyFont="1" applyFill="1" applyAlignment="1">
      <alignment horizontal="center" wrapText="1"/>
    </xf>
    <xf numFmtId="164" fontId="81" fillId="39" borderId="0" xfId="332" applyNumberFormat="1" applyFont="1" applyFill="1" applyAlignment="1">
      <alignment horizontal="center" wrapText="1"/>
    </xf>
    <xf numFmtId="0" fontId="89" fillId="39" borderId="0" xfId="0" applyFont="1" applyFill="1"/>
    <xf numFmtId="0" fontId="86" fillId="39" borderId="0" xfId="0" applyFont="1" applyFill="1" applyAlignment="1">
      <alignment horizontal="right"/>
    </xf>
    <xf numFmtId="10" fontId="86" fillId="39" borderId="0" xfId="2" applyNumberFormat="1" applyFont="1" applyFill="1"/>
    <xf numFmtId="0" fontId="90" fillId="39" borderId="0" xfId="3" applyFont="1" applyFill="1" applyAlignment="1">
      <alignment horizontal="left"/>
    </xf>
    <xf numFmtId="43" fontId="82" fillId="39" borderId="0" xfId="4" applyNumberFormat="1" applyFont="1" applyFill="1"/>
    <xf numFmtId="0" fontId="0" fillId="39" borderId="0" xfId="0" applyFill="1" applyAlignment="1">
      <alignment horizontal="left"/>
    </xf>
    <xf numFmtId="0" fontId="91" fillId="39" borderId="0" xfId="0" applyFont="1" applyFill="1"/>
    <xf numFmtId="164" fontId="82" fillId="39" borderId="0" xfId="4" applyNumberFormat="1" applyFont="1" applyFill="1" applyBorder="1"/>
    <xf numFmtId="164" fontId="82" fillId="39" borderId="2" xfId="4" applyNumberFormat="1" applyFont="1" applyFill="1" applyBorder="1"/>
    <xf numFmtId="164" fontId="82" fillId="39" borderId="1" xfId="332" applyNumberFormat="1" applyFont="1" applyFill="1" applyBorder="1"/>
    <xf numFmtId="43" fontId="82" fillId="39" borderId="0" xfId="332" applyNumberFormat="1" applyFont="1" applyFill="1" applyBorder="1"/>
    <xf numFmtId="0" fontId="90" fillId="39" borderId="0" xfId="3" applyFont="1" applyFill="1" applyAlignment="1">
      <alignment horizontal="center"/>
    </xf>
    <xf numFmtId="0" fontId="93" fillId="39" borderId="0" xfId="0" applyFont="1" applyFill="1" applyBorder="1"/>
    <xf numFmtId="43" fontId="82" fillId="39" borderId="0" xfId="3" applyNumberFormat="1" applyFont="1" applyFill="1" applyBorder="1"/>
    <xf numFmtId="0" fontId="94" fillId="39" borderId="0" xfId="3" applyFont="1" applyFill="1"/>
    <xf numFmtId="0" fontId="82" fillId="39" borderId="0" xfId="0" applyFont="1" applyFill="1" applyAlignment="1">
      <alignment vertical="top"/>
    </xf>
    <xf numFmtId="0" fontId="87" fillId="39" borderId="0" xfId="3" applyFont="1" applyFill="1" applyAlignment="1">
      <alignment horizontal="right"/>
    </xf>
    <xf numFmtId="44" fontId="92" fillId="39" borderId="0" xfId="333" applyFont="1" applyFill="1" applyBorder="1"/>
    <xf numFmtId="44" fontId="84" fillId="39" borderId="0" xfId="1" applyFont="1" applyFill="1"/>
    <xf numFmtId="164" fontId="84" fillId="39" borderId="0" xfId="0" applyNumberFormat="1" applyFont="1" applyFill="1" applyBorder="1"/>
    <xf numFmtId="164" fontId="84" fillId="39" borderId="2" xfId="0" applyNumberFormat="1" applyFont="1" applyFill="1" applyBorder="1"/>
    <xf numFmtId="0" fontId="87" fillId="39" borderId="0" xfId="3" applyFont="1" applyFill="1" applyBorder="1"/>
    <xf numFmtId="164" fontId="95" fillId="39" borderId="0" xfId="332" applyNumberFormat="1" applyFont="1" applyFill="1" applyAlignment="1">
      <alignment horizontal="center"/>
    </xf>
    <xf numFmtId="164" fontId="81" fillId="39" borderId="0" xfId="332" applyNumberFormat="1" applyFont="1" applyFill="1" applyBorder="1" applyAlignment="1">
      <alignment horizontal="right"/>
    </xf>
    <xf numFmtId="174" fontId="82" fillId="39" borderId="0" xfId="1" applyNumberFormat="1" applyFont="1" applyFill="1"/>
    <xf numFmtId="43" fontId="82" fillId="39" borderId="0" xfId="3" applyNumberFormat="1" applyFont="1" applyFill="1" applyAlignment="1">
      <alignment horizontal="right"/>
    </xf>
    <xf numFmtId="0" fontId="81" fillId="39" borderId="0" xfId="0" applyFont="1" applyFill="1" applyAlignment="1">
      <alignment horizontal="right"/>
    </xf>
    <xf numFmtId="174" fontId="82" fillId="39" borderId="6" xfId="1" applyNumberFormat="1" applyFont="1" applyFill="1" applyBorder="1"/>
    <xf numFmtId="43" fontId="84" fillId="39" borderId="0" xfId="332" applyNumberFormat="1" applyFont="1" applyFill="1" applyAlignment="1">
      <alignment horizontal="right"/>
    </xf>
    <xf numFmtId="174" fontId="81" fillId="39" borderId="0" xfId="1" applyNumberFormat="1" applyFont="1" applyFill="1"/>
    <xf numFmtId="164" fontId="84" fillId="39" borderId="6" xfId="332" applyNumberFormat="1" applyFont="1" applyFill="1" applyBorder="1"/>
    <xf numFmtId="0" fontId="96" fillId="39" borderId="0" xfId="0" applyFont="1" applyFill="1" applyAlignment="1">
      <alignment horizontal="right"/>
    </xf>
    <xf numFmtId="0" fontId="97" fillId="39" borderId="0" xfId="0" applyFont="1" applyFill="1"/>
    <xf numFmtId="174" fontId="96" fillId="39" borderId="0" xfId="1" applyNumberFormat="1" applyFont="1" applyFill="1"/>
    <xf numFmtId="174" fontId="84" fillId="39" borderId="0" xfId="1" applyNumberFormat="1" applyFont="1" applyFill="1"/>
    <xf numFmtId="0" fontId="87" fillId="39" borderId="0" xfId="3" applyFont="1" applyFill="1"/>
    <xf numFmtId="0" fontId="98" fillId="39" borderId="0" xfId="0" applyFont="1" applyFill="1" applyAlignment="1">
      <alignment horizontal="right"/>
    </xf>
    <xf numFmtId="43" fontId="84" fillId="39" borderId="0" xfId="0" applyNumberFormat="1" applyFont="1" applyFill="1"/>
    <xf numFmtId="44" fontId="84" fillId="39" borderId="0" xfId="0" applyNumberFormat="1" applyFont="1" applyFill="1"/>
    <xf numFmtId="0" fontId="93" fillId="39" borderId="0" xfId="0" applyFont="1" applyFill="1"/>
    <xf numFmtId="0" fontId="0" fillId="3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45" fillId="32" borderId="6" xfId="0" applyFont="1" applyFill="1" applyBorder="1" applyAlignment="1">
      <alignment horizontal="center"/>
    </xf>
    <xf numFmtId="0" fontId="0" fillId="3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24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0" fillId="0" borderId="24" xfId="0" applyFont="1" applyFill="1" applyBorder="1" applyAlignment="1">
      <alignment horizontal="center" vertical="center" textRotation="90"/>
    </xf>
    <xf numFmtId="0" fontId="58" fillId="39" borderId="0" xfId="0" applyFont="1" applyFill="1" applyBorder="1" applyAlignment="1">
      <alignment horizontal="left" wrapText="1"/>
    </xf>
    <xf numFmtId="43" fontId="61" fillId="39" borderId="29" xfId="4" applyFont="1" applyFill="1" applyBorder="1" applyAlignment="1">
      <alignment horizontal="center"/>
    </xf>
    <xf numFmtId="43" fontId="61" fillId="39" borderId="1" xfId="4" applyFont="1" applyFill="1" applyBorder="1" applyAlignment="1">
      <alignment horizontal="center"/>
    </xf>
    <xf numFmtId="43" fontId="61" fillId="39" borderId="30" xfId="4" applyFont="1" applyFill="1" applyBorder="1" applyAlignment="1">
      <alignment horizontal="center"/>
    </xf>
    <xf numFmtId="0" fontId="61" fillId="39" borderId="29" xfId="152" applyFont="1" applyFill="1" applyBorder="1" applyAlignment="1">
      <alignment horizontal="center"/>
    </xf>
    <xf numFmtId="0" fontId="61" fillId="39" borderId="30" xfId="152" applyFont="1" applyFill="1" applyBorder="1" applyAlignment="1">
      <alignment horizontal="center"/>
    </xf>
    <xf numFmtId="43" fontId="67" fillId="39" borderId="0" xfId="4" applyFont="1" applyFill="1" applyAlignment="1">
      <alignment horizontal="center"/>
    </xf>
    <xf numFmtId="0" fontId="61" fillId="39" borderId="0" xfId="152" applyFont="1" applyFill="1" applyBorder="1" applyAlignment="1">
      <alignment horizontal="center"/>
    </xf>
    <xf numFmtId="164" fontId="81" fillId="39" borderId="0" xfId="332" applyNumberFormat="1" applyFont="1" applyFill="1" applyAlignment="1">
      <alignment horizontal="center" wrapText="1"/>
    </xf>
    <xf numFmtId="164" fontId="88" fillId="39" borderId="0" xfId="332" applyNumberFormat="1" applyFont="1" applyFill="1" applyBorder="1" applyAlignment="1">
      <alignment horizontal="center"/>
    </xf>
    <xf numFmtId="0" fontId="92" fillId="32" borderId="6" xfId="0" applyFont="1" applyFill="1" applyBorder="1" applyAlignment="1"/>
    <xf numFmtId="164" fontId="81" fillId="32" borderId="6" xfId="332" applyNumberFormat="1" applyFont="1" applyFill="1" applyBorder="1"/>
    <xf numFmtId="43" fontId="84" fillId="32" borderId="6" xfId="332" applyNumberFormat="1" applyFont="1" applyFill="1" applyBorder="1"/>
    <xf numFmtId="164" fontId="84" fillId="32" borderId="6" xfId="332" applyNumberFormat="1" applyFont="1" applyFill="1" applyBorder="1"/>
    <xf numFmtId="173" fontId="81" fillId="32" borderId="6" xfId="0" applyNumberFormat="1" applyFont="1" applyFill="1" applyBorder="1"/>
    <xf numFmtId="173" fontId="84" fillId="32" borderId="6" xfId="0" applyNumberFormat="1" applyFont="1" applyFill="1" applyBorder="1"/>
  </cellXfs>
  <cellStyles count="1262">
    <cellStyle name="20% - Accent1 2" xfId="6"/>
    <cellStyle name="20% - Accent1 2 2" xfId="334"/>
    <cellStyle name="20% - Accent1 2 3" xfId="335"/>
    <cellStyle name="20% - Accent1 2 4" xfId="564"/>
    <cellStyle name="20% - Accent1 3" xfId="7"/>
    <cellStyle name="20% - Accent1 3 2" xfId="336"/>
    <cellStyle name="20% - Accent1 3 3" xfId="337"/>
    <cellStyle name="20% - Accent1 4" xfId="8"/>
    <cellStyle name="20% - Accent1 4 2" xfId="565"/>
    <cellStyle name="20% - Accent1 5" xfId="566"/>
    <cellStyle name="20% - Accent2 2" xfId="9"/>
    <cellStyle name="20% - Accent2 3" xfId="297"/>
    <cellStyle name="20% - Accent2 3 2" xfId="338"/>
    <cellStyle name="20% - Accent2 4" xfId="567"/>
    <cellStyle name="20% - Accent2 5" xfId="568"/>
    <cellStyle name="20% - Accent3 2" xfId="10"/>
    <cellStyle name="20% - Accent3 3" xfId="298"/>
    <cellStyle name="20% - Accent3 3 2" xfId="339"/>
    <cellStyle name="20% - Accent3 4" xfId="569"/>
    <cellStyle name="20% - Accent3 5" xfId="570"/>
    <cellStyle name="20% - Accent4 2" xfId="11"/>
    <cellStyle name="20% - Accent4 2 2" xfId="340"/>
    <cellStyle name="20% - Accent4 2 3" xfId="341"/>
    <cellStyle name="20% - Accent4 3" xfId="12"/>
    <cellStyle name="20% - Accent4 3 2" xfId="342"/>
    <cellStyle name="20% - Accent4 3 3" xfId="343"/>
    <cellStyle name="20% - Accent4 4" xfId="13"/>
    <cellStyle name="20% - Accent4 4 2" xfId="571"/>
    <cellStyle name="20% - Accent4 5" xfId="572"/>
    <cellStyle name="20% - Accent5 2" xfId="14"/>
    <cellStyle name="20% - Accent5 3" xfId="299"/>
    <cellStyle name="20% - Accent5 4" xfId="573"/>
    <cellStyle name="20% - Accent5 5" xfId="574"/>
    <cellStyle name="20% - Accent6 2" xfId="15"/>
    <cellStyle name="20% - Accent6 3" xfId="300"/>
    <cellStyle name="20% - Accent6 3 2" xfId="344"/>
    <cellStyle name="20% - Accent6 4" xfId="575"/>
    <cellStyle name="20% - Accent6 5" xfId="576"/>
    <cellStyle name="40% - Accent1 2" xfId="16"/>
    <cellStyle name="40% - Accent1 2 2" xfId="577"/>
    <cellStyle name="40% - Accent1 2 3" xfId="578"/>
    <cellStyle name="40% - Accent1 3" xfId="17"/>
    <cellStyle name="40% - Accent1 3 2" xfId="345"/>
    <cellStyle name="40% - Accent1 3 3" xfId="346"/>
    <cellStyle name="40% - Accent1 4" xfId="18"/>
    <cellStyle name="40% - Accent1 4 2" xfId="579"/>
    <cellStyle name="40% - Accent1 5" xfId="580"/>
    <cellStyle name="40% - Accent2 2" xfId="19"/>
    <cellStyle name="40% - Accent2 3" xfId="301"/>
    <cellStyle name="40% - Accent2 4" xfId="581"/>
    <cellStyle name="40% - Accent2 5" xfId="582"/>
    <cellStyle name="40% - Accent3 2" xfId="20"/>
    <cellStyle name="40% - Accent3 3" xfId="302"/>
    <cellStyle name="40% - Accent3 3 2" xfId="347"/>
    <cellStyle name="40% - Accent3 4" xfId="583"/>
    <cellStyle name="40% - Accent3 5" xfId="584"/>
    <cellStyle name="40% - Accent4 2" xfId="21"/>
    <cellStyle name="40% - Accent4 2 2" xfId="585"/>
    <cellStyle name="40% - Accent4 2 3" xfId="586"/>
    <cellStyle name="40% - Accent4 3" xfId="22"/>
    <cellStyle name="40% - Accent4 3 2" xfId="348"/>
    <cellStyle name="40% - Accent4 3 3" xfId="349"/>
    <cellStyle name="40% - Accent4 4" xfId="23"/>
    <cellStyle name="40% - Accent4 4 2" xfId="587"/>
    <cellStyle name="40% - Accent4 5" xfId="588"/>
    <cellStyle name="40% - Accent5 2" xfId="24"/>
    <cellStyle name="40% - Accent5 2 2" xfId="589"/>
    <cellStyle name="40% - Accent5 2 3" xfId="590"/>
    <cellStyle name="40% - Accent5 3" xfId="25"/>
    <cellStyle name="40% - Accent5 3 2" xfId="350"/>
    <cellStyle name="40% - Accent5 4" xfId="591"/>
    <cellStyle name="40% - Accent5 5" xfId="592"/>
    <cellStyle name="40% - Accent6 2" xfId="26"/>
    <cellStyle name="40% - Accent6 2 2" xfId="593"/>
    <cellStyle name="40% - Accent6 2 3" xfId="594"/>
    <cellStyle name="40% - Accent6 3" xfId="27"/>
    <cellStyle name="40% - Accent6 3 2" xfId="351"/>
    <cellStyle name="40% - Accent6 3 3" xfId="352"/>
    <cellStyle name="40% - Accent6 4" xfId="28"/>
    <cellStyle name="40% - Accent6 4 2" xfId="595"/>
    <cellStyle name="40% - Accent6 5" xfId="596"/>
    <cellStyle name="60% - Accent1 2" xfId="29"/>
    <cellStyle name="60% - Accent1 2 2" xfId="353"/>
    <cellStyle name="60% - Accent1 2 3" xfId="354"/>
    <cellStyle name="60% - Accent1 2 4" xfId="597"/>
    <cellStyle name="60% - Accent1 3" xfId="30"/>
    <cellStyle name="60% - Accent1 3 2" xfId="355"/>
    <cellStyle name="60% - Accent1 3 3" xfId="356"/>
    <cellStyle name="60% - Accent1 4" xfId="31"/>
    <cellStyle name="60% - Accent1 4 2" xfId="598"/>
    <cellStyle name="60% - Accent2 2" xfId="32"/>
    <cellStyle name="60% - Accent2 2 2" xfId="599"/>
    <cellStyle name="60% - Accent2 2 3" xfId="600"/>
    <cellStyle name="60% - Accent2 3" xfId="33"/>
    <cellStyle name="60% - Accent2 3 2" xfId="357"/>
    <cellStyle name="60% - Accent2 4" xfId="601"/>
    <cellStyle name="60% - Accent3 2" xfId="34"/>
    <cellStyle name="60% - Accent3 2 2" xfId="602"/>
    <cellStyle name="60% - Accent3 2 3" xfId="603"/>
    <cellStyle name="60% - Accent3 3" xfId="35"/>
    <cellStyle name="60% - Accent3 3 2" xfId="358"/>
    <cellStyle name="60% - Accent3 3 3" xfId="359"/>
    <cellStyle name="60% - Accent3 4" xfId="36"/>
    <cellStyle name="60% - Accent3 4 2" xfId="604"/>
    <cellStyle name="60% - Accent4 2" xfId="37"/>
    <cellStyle name="60% - Accent4 2 2" xfId="605"/>
    <cellStyle name="60% - Accent4 2 3" xfId="606"/>
    <cellStyle name="60% - Accent4 3" xfId="38"/>
    <cellStyle name="60% - Accent4 3 2" xfId="360"/>
    <cellStyle name="60% - Accent4 3 3" xfId="361"/>
    <cellStyle name="60% - Accent4 4" xfId="39"/>
    <cellStyle name="60% - Accent4 4 2" xfId="607"/>
    <cellStyle name="60% - Accent5 2" xfId="40"/>
    <cellStyle name="60% - Accent5 2 2" xfId="362"/>
    <cellStyle name="60% - Accent5 2 3" xfId="363"/>
    <cellStyle name="60% - Accent5 2 4" xfId="608"/>
    <cellStyle name="60% - Accent5 3" xfId="41"/>
    <cellStyle name="60% - Accent5 3 2" xfId="364"/>
    <cellStyle name="60% - Accent5 4" xfId="609"/>
    <cellStyle name="60% - Accent6 2" xfId="42"/>
    <cellStyle name="60% - Accent6 3" xfId="303"/>
    <cellStyle name="60% - Accent6 3 2" xfId="365"/>
    <cellStyle name="60% - Accent6 4" xfId="610"/>
    <cellStyle name="Accent1 2" xfId="43"/>
    <cellStyle name="Accent1 2 2" xfId="366"/>
    <cellStyle name="Accent1 2 3" xfId="367"/>
    <cellStyle name="Accent1 2 4" xfId="611"/>
    <cellStyle name="Accent1 3" xfId="44"/>
    <cellStyle name="Accent1 3 2" xfId="368"/>
    <cellStyle name="Accent1 3 3" xfId="369"/>
    <cellStyle name="Accent1 4" xfId="45"/>
    <cellStyle name="Accent1 4 2" xfId="612"/>
    <cellStyle name="Accent2 2" xfId="46"/>
    <cellStyle name="Accent2 2 2" xfId="613"/>
    <cellStyle name="Accent2 2 3" xfId="614"/>
    <cellStyle name="Accent2 3" xfId="47"/>
    <cellStyle name="Accent2 3 2" xfId="370"/>
    <cellStyle name="Accent2 4" xfId="615"/>
    <cellStyle name="Accent3 2" xfId="48"/>
    <cellStyle name="Accent3 2 2" xfId="371"/>
    <cellStyle name="Accent3 2 3" xfId="372"/>
    <cellStyle name="Accent3 2 4" xfId="616"/>
    <cellStyle name="Accent3 3" xfId="49"/>
    <cellStyle name="Accent3 3 2" xfId="373"/>
    <cellStyle name="Accent3 4" xfId="617"/>
    <cellStyle name="Accent4 2" xfId="50"/>
    <cellStyle name="Accent4 2 2" xfId="618"/>
    <cellStyle name="Accent4 2 2 2" xfId="619"/>
    <cellStyle name="Accent4 2 3" xfId="620"/>
    <cellStyle name="Accent4 3" xfId="51"/>
    <cellStyle name="Accent4 3 2" xfId="374"/>
    <cellStyle name="Accent4 4" xfId="621"/>
    <cellStyle name="Accent5 2" xfId="52"/>
    <cellStyle name="Accent5 2 2" xfId="622"/>
    <cellStyle name="Accent5 2 3" xfId="623"/>
    <cellStyle name="Accent5 3" xfId="53"/>
    <cellStyle name="Accent5 4" xfId="624"/>
    <cellStyle name="Accent6 2" xfId="54"/>
    <cellStyle name="Accent6 2 2" xfId="375"/>
    <cellStyle name="Accent6 2 3" xfId="376"/>
    <cellStyle name="Accent6 2 4" xfId="625"/>
    <cellStyle name="Accent6 3" xfId="55"/>
    <cellStyle name="Accent6 3 2" xfId="377"/>
    <cellStyle name="Accent6 4" xfId="626"/>
    <cellStyle name="Accounting" xfId="56"/>
    <cellStyle name="Accounting 2" xfId="57"/>
    <cellStyle name="Accounting 3" xfId="58"/>
    <cellStyle name="Accounting_2011-11" xfId="59"/>
    <cellStyle name="APS" xfId="627"/>
    <cellStyle name="APSLabels" xfId="628"/>
    <cellStyle name="Bad 2" xfId="60"/>
    <cellStyle name="Bad 2 2" xfId="629"/>
    <cellStyle name="Bad 2 3" xfId="630"/>
    <cellStyle name="Bad 3" xfId="61"/>
    <cellStyle name="Bad 3 2" xfId="378"/>
    <cellStyle name="Bad 4" xfId="631"/>
    <cellStyle name="Budget" xfId="62"/>
    <cellStyle name="Budget 2" xfId="63"/>
    <cellStyle name="Budget 3" xfId="64"/>
    <cellStyle name="Budget_2011-11" xfId="65"/>
    <cellStyle name="Calculation 2" xfId="66"/>
    <cellStyle name="Calculation 2 2" xfId="379"/>
    <cellStyle name="Calculation 2 3" xfId="380"/>
    <cellStyle name="Calculation 2 4" xfId="632"/>
    <cellStyle name="Calculation 3" xfId="67"/>
    <cellStyle name="Calculation 3 2" xfId="381"/>
    <cellStyle name="Calculation 3 3" xfId="382"/>
    <cellStyle name="Calculation 4" xfId="68"/>
    <cellStyle name="Calculation 4 2" xfId="633"/>
    <cellStyle name="Check Cell 2" xfId="69"/>
    <cellStyle name="Check Cell 2 2" xfId="634"/>
    <cellStyle name="Check Cell 2 3" xfId="635"/>
    <cellStyle name="Check Cell 3" xfId="70"/>
    <cellStyle name="Check Cell 4" xfId="636"/>
    <cellStyle name="Color" xfId="637"/>
    <cellStyle name="combo" xfId="71"/>
    <cellStyle name="Comma" xfId="332" builtinId="3"/>
    <cellStyle name="Comma 10" xfId="4"/>
    <cellStyle name="Comma 10 2" xfId="638"/>
    <cellStyle name="Comma 11" xfId="72"/>
    <cellStyle name="Comma 11 2" xfId="639"/>
    <cellStyle name="Comma 11 2 2" xfId="640"/>
    <cellStyle name="Comma 11 2 2 2" xfId="641"/>
    <cellStyle name="Comma 11 2 3" xfId="642"/>
    <cellStyle name="Comma 11 3" xfId="643"/>
    <cellStyle name="Comma 11 3 2" xfId="644"/>
    <cellStyle name="Comma 11 4" xfId="645"/>
    <cellStyle name="Comma 12" xfId="73"/>
    <cellStyle name="Comma 12 2" xfId="304"/>
    <cellStyle name="Comma 12 2 2" xfId="383"/>
    <cellStyle name="Comma 12 3" xfId="384"/>
    <cellStyle name="Comma 12 4" xfId="385"/>
    <cellStyle name="Comma 12 5" xfId="386"/>
    <cellStyle name="Comma 13" xfId="74"/>
    <cellStyle name="Comma 13 2" xfId="387"/>
    <cellStyle name="Comma 13 3" xfId="646"/>
    <cellStyle name="Comma 14" xfId="75"/>
    <cellStyle name="Comma 15" xfId="76"/>
    <cellStyle name="Comma 15 2" xfId="388"/>
    <cellStyle name="Comma 15 3" xfId="647"/>
    <cellStyle name="Comma 16" xfId="77"/>
    <cellStyle name="Comma 16 2" xfId="648"/>
    <cellStyle name="Comma 16 3" xfId="649"/>
    <cellStyle name="Comma 17" xfId="78"/>
    <cellStyle name="Comma 17 2" xfId="389"/>
    <cellStyle name="Comma 17 2 2" xfId="562"/>
    <cellStyle name="Comma 17 3" xfId="650"/>
    <cellStyle name="Comma 17 4" xfId="651"/>
    <cellStyle name="Comma 18" xfId="79"/>
    <cellStyle name="Comma 18 2" xfId="390"/>
    <cellStyle name="Comma 18 3" xfId="391"/>
    <cellStyle name="Comma 18 4" xfId="557"/>
    <cellStyle name="Comma 19" xfId="80"/>
    <cellStyle name="Comma 2" xfId="81"/>
    <cellStyle name="Comma 2 2" xfId="82"/>
    <cellStyle name="Comma 2 2 2" xfId="83"/>
    <cellStyle name="Comma 2 2 2 2" xfId="652"/>
    <cellStyle name="Comma 2 2 2 2 2" xfId="653"/>
    <cellStyle name="Comma 2 2 3" xfId="654"/>
    <cellStyle name="Comma 2 3" xfId="84"/>
    <cellStyle name="Comma 2 3 2" xfId="655"/>
    <cellStyle name="Comma 2 4" xfId="85"/>
    <cellStyle name="Comma 2 4 2" xfId="392"/>
    <cellStyle name="Comma 2 4 2 2" xfId="563"/>
    <cellStyle name="Comma 2 4 3" xfId="393"/>
    <cellStyle name="Comma 2 4 4" xfId="558"/>
    <cellStyle name="Comma 2 5" xfId="561"/>
    <cellStyle name="Comma 2 5 2" xfId="656"/>
    <cellStyle name="Comma 2 6" xfId="305"/>
    <cellStyle name="Comma 2 6 2" xfId="306"/>
    <cellStyle name="Comma 2 6 2 2" xfId="657"/>
    <cellStyle name="Comma 2 6 3" xfId="658"/>
    <cellStyle name="Comma 2 7" xfId="659"/>
    <cellStyle name="Comma 2 7 2" xfId="660"/>
    <cellStyle name="Comma 2 8" xfId="661"/>
    <cellStyle name="Comma 20" xfId="394"/>
    <cellStyle name="Comma 20 2" xfId="662"/>
    <cellStyle name="Comma 21" xfId="395"/>
    <cellStyle name="Comma 21 2" xfId="663"/>
    <cellStyle name="Comma 22" xfId="664"/>
    <cellStyle name="Comma 23" xfId="665"/>
    <cellStyle name="Comma 3" xfId="86"/>
    <cellStyle name="Comma 3 2" xfId="87"/>
    <cellStyle name="Comma 3 2 2" xfId="88"/>
    <cellStyle name="Comma 3 3" xfId="89"/>
    <cellStyle name="Comma 3 4" xfId="90"/>
    <cellStyle name="Comma 4" xfId="91"/>
    <cellStyle name="Comma 4 2" xfId="92"/>
    <cellStyle name="Comma 4 2 2" xfId="396"/>
    <cellStyle name="Comma 4 2 2 2" xfId="666"/>
    <cellStyle name="Comma 4 2 2 2 2" xfId="667"/>
    <cellStyle name="Comma 4 2 2 3" xfId="668"/>
    <cellStyle name="Comma 4 2 2 3 2" xfId="669"/>
    <cellStyle name="Comma 4 2 2 4" xfId="670"/>
    <cellStyle name="Comma 4 2 3" xfId="397"/>
    <cellStyle name="Comma 4 2 3 2" xfId="671"/>
    <cellStyle name="Comma 4 2 4" xfId="672"/>
    <cellStyle name="Comma 4 2 4 2" xfId="673"/>
    <cellStyle name="Comma 4 2 4 3" xfId="674"/>
    <cellStyle name="Comma 4 2 5" xfId="675"/>
    <cellStyle name="Comma 4 3" xfId="93"/>
    <cellStyle name="Comma 4 3 2" xfId="398"/>
    <cellStyle name="Comma 4 3 2 2" xfId="676"/>
    <cellStyle name="Comma 4 3 3" xfId="399"/>
    <cellStyle name="Comma 4 3 3 2" xfId="677"/>
    <cellStyle name="Comma 4 3 4" xfId="678"/>
    <cellStyle name="Comma 4 3 4 2" xfId="679"/>
    <cellStyle name="Comma 4 4" xfId="94"/>
    <cellStyle name="Comma 4 4 2" xfId="400"/>
    <cellStyle name="Comma 4 4 2 2" xfId="680"/>
    <cellStyle name="Comma 4 4 3" xfId="401"/>
    <cellStyle name="Comma 4 4 3 2" xfId="681"/>
    <cellStyle name="Comma 4 4 4" xfId="682"/>
    <cellStyle name="Comma 4 4 4 2" xfId="683"/>
    <cellStyle name="Comma 4 5" xfId="95"/>
    <cellStyle name="Comma 4 5 2" xfId="402"/>
    <cellStyle name="Comma 4 5 2 2" xfId="684"/>
    <cellStyle name="Comma 4 6" xfId="403"/>
    <cellStyle name="Comma 4 6 2" xfId="555"/>
    <cellStyle name="Comma 4 7" xfId="685"/>
    <cellStyle name="Comma 5" xfId="96"/>
    <cellStyle name="Comma 5 2" xfId="404"/>
    <cellStyle name="Comma 5 2 2" xfId="686"/>
    <cellStyle name="Comma 5 2 2 2" xfId="687"/>
    <cellStyle name="Comma 5 2 2 2 2" xfId="688"/>
    <cellStyle name="Comma 5 2 2 3" xfId="689"/>
    <cellStyle name="Comma 5 2 3" xfId="690"/>
    <cellStyle name="Comma 5 2 3 2" xfId="691"/>
    <cellStyle name="Comma 5 2 4" xfId="692"/>
    <cellStyle name="Comma 5 3" xfId="405"/>
    <cellStyle name="Comma 5 3 2" xfId="693"/>
    <cellStyle name="Comma 5 3 2 2" xfId="694"/>
    <cellStyle name="Comma 5 3 3" xfId="695"/>
    <cellStyle name="Comma 5 4" xfId="406"/>
    <cellStyle name="Comma 5 4 2" xfId="696"/>
    <cellStyle name="Comma 5 5" xfId="697"/>
    <cellStyle name="Comma 5 5 2" xfId="698"/>
    <cellStyle name="Comma 5 6" xfId="699"/>
    <cellStyle name="Comma 6" xfId="97"/>
    <cellStyle name="Comma 6 2" xfId="98"/>
    <cellStyle name="Comma 6 2 2" xfId="700"/>
    <cellStyle name="Comma 6 2 2 2" xfId="701"/>
    <cellStyle name="Comma 6 2 2 2 2" xfId="702"/>
    <cellStyle name="Comma 6 2 2 3" xfId="703"/>
    <cellStyle name="Comma 6 2 3" xfId="704"/>
    <cellStyle name="Comma 6 2 3 2" xfId="705"/>
    <cellStyle name="Comma 6 2 4" xfId="706"/>
    <cellStyle name="Comma 6 3" xfId="707"/>
    <cellStyle name="Comma 6 3 2" xfId="708"/>
    <cellStyle name="Comma 6 3 2 2" xfId="709"/>
    <cellStyle name="Comma 6 3 3" xfId="710"/>
    <cellStyle name="Comma 6 4" xfId="711"/>
    <cellStyle name="Comma 6 4 2" xfId="712"/>
    <cellStyle name="Comma 6 5" xfId="713"/>
    <cellStyle name="Comma 7" xfId="99"/>
    <cellStyle name="Comma 7 2" xfId="714"/>
    <cellStyle name="Comma 7 2 2" xfId="715"/>
    <cellStyle name="Comma 7 2 2 2" xfId="716"/>
    <cellStyle name="Comma 7 2 2 2 2" xfId="717"/>
    <cellStyle name="Comma 7 2 2 3" xfId="718"/>
    <cellStyle name="Comma 7 2 3" xfId="719"/>
    <cellStyle name="Comma 7 2 3 2" xfId="720"/>
    <cellStyle name="Comma 7 2 4" xfId="721"/>
    <cellStyle name="Comma 7 3" xfId="722"/>
    <cellStyle name="Comma 7 3 2" xfId="723"/>
    <cellStyle name="Comma 7 3 2 2" xfId="724"/>
    <cellStyle name="Comma 7 3 3" xfId="725"/>
    <cellStyle name="Comma 7 4" xfId="726"/>
    <cellStyle name="Comma 7 4 2" xfId="727"/>
    <cellStyle name="Comma 7 5" xfId="728"/>
    <cellStyle name="Comma 8" xfId="100"/>
    <cellStyle name="Comma 8 2" xfId="729"/>
    <cellStyle name="Comma 8 2 2" xfId="730"/>
    <cellStyle name="Comma 8 2 2 2" xfId="731"/>
    <cellStyle name="Comma 8 2 2 3" xfId="732"/>
    <cellStyle name="Comma 8 2 3" xfId="733"/>
    <cellStyle name="Comma 8 3" xfId="734"/>
    <cellStyle name="Comma 8 3 2" xfId="735"/>
    <cellStyle name="Comma 8 4" xfId="736"/>
    <cellStyle name="Comma 9" xfId="101"/>
    <cellStyle name="Comma 9 2" xfId="737"/>
    <cellStyle name="Comma(2)" xfId="102"/>
    <cellStyle name="Comma0" xfId="407"/>
    <cellStyle name="Comma0 - Style2" xfId="103"/>
    <cellStyle name="Comma1 - Style1" xfId="104"/>
    <cellStyle name="Comments" xfId="105"/>
    <cellStyle name="Currency" xfId="1" builtinId="4"/>
    <cellStyle name="Currency 10" xfId="106"/>
    <cellStyle name="Currency 10 2" xfId="738"/>
    <cellStyle name="Currency 11" xfId="333"/>
    <cellStyle name="Currency 11 2" xfId="739"/>
    <cellStyle name="Currency 12" xfId="408"/>
    <cellStyle name="Currency 13" xfId="409"/>
    <cellStyle name="Currency 14" xfId="740"/>
    <cellStyle name="Currency 15" xfId="741"/>
    <cellStyle name="Currency 2" xfId="107"/>
    <cellStyle name="Currency 2 2" xfId="108"/>
    <cellStyle name="Currency 2 2 2" xfId="307"/>
    <cellStyle name="Currency 2 2 3" xfId="410"/>
    <cellStyle name="Currency 2 2 3 2" xfId="742"/>
    <cellStyle name="Currency 2 2 4" xfId="743"/>
    <cellStyle name="Currency 2 3" xfId="109"/>
    <cellStyle name="Currency 2 3 2" xfId="411"/>
    <cellStyle name="Currency 2 3 3" xfId="412"/>
    <cellStyle name="Currency 2 4" xfId="413"/>
    <cellStyle name="Currency 2 4 2" xfId="744"/>
    <cellStyle name="Currency 2 4 3" xfId="745"/>
    <cellStyle name="Currency 2 5" xfId="746"/>
    <cellStyle name="Currency 2 5 2" xfId="747"/>
    <cellStyle name="Currency 2 6" xfId="308"/>
    <cellStyle name="Currency 2 6 2" xfId="309"/>
    <cellStyle name="Currency 2 6 3" xfId="748"/>
    <cellStyle name="Currency 2 7" xfId="749"/>
    <cellStyle name="Currency 3" xfId="110"/>
    <cellStyle name="Currency 3 2" xfId="5"/>
    <cellStyle name="Currency 3 2 2" xfId="750"/>
    <cellStyle name="Currency 3 2 2 2" xfId="751"/>
    <cellStyle name="Currency 3 2 2 2 2" xfId="752"/>
    <cellStyle name="Currency 3 2 2 3" xfId="753"/>
    <cellStyle name="Currency 3 2 3" xfId="754"/>
    <cellStyle name="Currency 3 2 3 2" xfId="755"/>
    <cellStyle name="Currency 3 2 4" xfId="756"/>
    <cellStyle name="Currency 3 3" xfId="111"/>
    <cellStyle name="Currency 3 3 2" xfId="414"/>
    <cellStyle name="Currency 3 3 2 2" xfId="757"/>
    <cellStyle name="Currency 3 3 3" xfId="554"/>
    <cellStyle name="Currency 3 3 4" xfId="758"/>
    <cellStyle name="Currency 3 4" xfId="415"/>
    <cellStyle name="Currency 3 4 2" xfId="759"/>
    <cellStyle name="Currency 3 5" xfId="416"/>
    <cellStyle name="Currency 4" xfId="112"/>
    <cellStyle name="Currency 4 2" xfId="310"/>
    <cellStyle name="Currency 4 2 2" xfId="760"/>
    <cellStyle name="Currency 4 2 2 2" xfId="761"/>
    <cellStyle name="Currency 4 2 2 2 2" xfId="762"/>
    <cellStyle name="Currency 4 2 2 3" xfId="763"/>
    <cellStyle name="Currency 4 2 3" xfId="764"/>
    <cellStyle name="Currency 4 2 3 2" xfId="765"/>
    <cellStyle name="Currency 4 2 4" xfId="766"/>
    <cellStyle name="Currency 4 3" xfId="417"/>
    <cellStyle name="Currency 4 3 2" xfId="767"/>
    <cellStyle name="Currency 4 3 2 2" xfId="768"/>
    <cellStyle name="Currency 4 3 3" xfId="769"/>
    <cellStyle name="Currency 4 4" xfId="418"/>
    <cellStyle name="Currency 4 4 2" xfId="770"/>
    <cellStyle name="Currency 4 5" xfId="771"/>
    <cellStyle name="Currency 5" xfId="113"/>
    <cellStyle name="Currency 5 2" xfId="311"/>
    <cellStyle name="Currency 5 2 2" xfId="772"/>
    <cellStyle name="Currency 5 2 2 2" xfId="773"/>
    <cellStyle name="Currency 5 2 3" xfId="774"/>
    <cellStyle name="Currency 5 3" xfId="419"/>
    <cellStyle name="Currency 5 3 2" xfId="775"/>
    <cellStyle name="Currency 5 4" xfId="776"/>
    <cellStyle name="Currency 6" xfId="114"/>
    <cellStyle name="Currency 7" xfId="115"/>
    <cellStyle name="Currency 8" xfId="116"/>
    <cellStyle name="Currency 8 2" xfId="420"/>
    <cellStyle name="Currency 8 2 2" xfId="777"/>
    <cellStyle name="Currency 8 2 2 2" xfId="778"/>
    <cellStyle name="Currency 8 2 3" xfId="779"/>
    <cellStyle name="Currency 8 3" xfId="559"/>
    <cellStyle name="Currency 8 3 2" xfId="780"/>
    <cellStyle name="Currency 8 3 3" xfId="781"/>
    <cellStyle name="Currency 8 4" xfId="782"/>
    <cellStyle name="Currency 9" xfId="117"/>
    <cellStyle name="Currency 9 2" xfId="783"/>
    <cellStyle name="Currency 9 2 2" xfId="784"/>
    <cellStyle name="Currency 9 3" xfId="785"/>
    <cellStyle name="Currency0" xfId="421"/>
    <cellStyle name="Data Enter" xfId="118"/>
    <cellStyle name="date" xfId="119"/>
    <cellStyle name="Explanatory Text 2" xfId="120"/>
    <cellStyle name="Explanatory Text 3" xfId="312"/>
    <cellStyle name="Explanatory Text 4" xfId="786"/>
    <cellStyle name="F9ReportControlStyle_ctpInquire" xfId="422"/>
    <cellStyle name="FactSheet" xfId="121"/>
    <cellStyle name="fish" xfId="122"/>
    <cellStyle name="Good 2" xfId="123"/>
    <cellStyle name="Good 2 2" xfId="787"/>
    <cellStyle name="Good 2 2 2" xfId="788"/>
    <cellStyle name="Good 2 3" xfId="789"/>
    <cellStyle name="Good 3" xfId="124"/>
    <cellStyle name="Good 3 2" xfId="423"/>
    <cellStyle name="Good 3 3" xfId="790"/>
    <cellStyle name="Good 4" xfId="424"/>
    <cellStyle name="Good 5" xfId="791"/>
    <cellStyle name="Heading 1 2" xfId="125"/>
    <cellStyle name="Heading 1 2 2" xfId="425"/>
    <cellStyle name="Heading 1 2 3" xfId="426"/>
    <cellStyle name="Heading 1 2 4" xfId="792"/>
    <cellStyle name="Heading 1 3" xfId="126"/>
    <cellStyle name="Heading 1 3 2" xfId="427"/>
    <cellStyle name="Heading 1 3 3" xfId="428"/>
    <cellStyle name="Heading 1 4" xfId="127"/>
    <cellStyle name="Heading 1 4 2" xfId="793"/>
    <cellStyle name="Heading 2 2" xfId="128"/>
    <cellStyle name="Heading 2 2 2" xfId="429"/>
    <cellStyle name="Heading 2 2 3" xfId="430"/>
    <cellStyle name="Heading 2 2 4" xfId="794"/>
    <cellStyle name="Heading 2 3" xfId="129"/>
    <cellStyle name="Heading 2 3 2" xfId="431"/>
    <cellStyle name="Heading 2 3 3" xfId="432"/>
    <cellStyle name="Heading 2 4" xfId="130"/>
    <cellStyle name="Heading 2 4 2" xfId="795"/>
    <cellStyle name="Heading 3 2" xfId="131"/>
    <cellStyle name="Heading 3 2 2" xfId="433"/>
    <cellStyle name="Heading 3 2 3" xfId="434"/>
    <cellStyle name="Heading 3 2 4" xfId="796"/>
    <cellStyle name="Heading 3 3" xfId="132"/>
    <cellStyle name="Heading 3 3 2" xfId="435"/>
    <cellStyle name="Heading 3 3 3" xfId="436"/>
    <cellStyle name="Heading 3 4" xfId="133"/>
    <cellStyle name="Heading 3 4 2" xfId="797"/>
    <cellStyle name="Heading 4 2" xfId="134"/>
    <cellStyle name="Heading 4 2 2" xfId="798"/>
    <cellStyle name="Heading 4 2 2 2" xfId="799"/>
    <cellStyle name="Heading 4 2 3" xfId="800"/>
    <cellStyle name="Heading 4 3" xfId="135"/>
    <cellStyle name="Heading 4 3 2" xfId="437"/>
    <cellStyle name="Heading 4 4" xfId="801"/>
    <cellStyle name="Hyperlink 2" xfId="136"/>
    <cellStyle name="Hyperlink 2 2" xfId="802"/>
    <cellStyle name="Hyperlink 2 2 2" xfId="803"/>
    <cellStyle name="Hyperlink 2 2 3" xfId="804"/>
    <cellStyle name="Hyperlink 2 2 4" xfId="805"/>
    <cellStyle name="Hyperlink 2 3" xfId="806"/>
    <cellStyle name="Hyperlink 3" xfId="137"/>
    <cellStyle name="Hyperlink 3 2" xfId="438"/>
    <cellStyle name="Hyperlink 3 2 2" xfId="807"/>
    <cellStyle name="Hyperlink 3 3" xfId="808"/>
    <cellStyle name="Input 2" xfId="138"/>
    <cellStyle name="Input 2 2" xfId="809"/>
    <cellStyle name="Input 2 2 2" xfId="810"/>
    <cellStyle name="Input 2 3" xfId="811"/>
    <cellStyle name="Input 3" xfId="139"/>
    <cellStyle name="Input 3 2" xfId="439"/>
    <cellStyle name="Input 4" xfId="812"/>
    <cellStyle name="input(0)" xfId="140"/>
    <cellStyle name="Input(2)" xfId="141"/>
    <cellStyle name="Labels" xfId="813"/>
    <cellStyle name="Linked Cell 2" xfId="142"/>
    <cellStyle name="Linked Cell 2 2" xfId="440"/>
    <cellStyle name="Linked Cell 2 3" xfId="441"/>
    <cellStyle name="Linked Cell 2 4" xfId="814"/>
    <cellStyle name="Linked Cell 3" xfId="143"/>
    <cellStyle name="Linked Cell 3 2" xfId="442"/>
    <cellStyle name="Linked Cell 4" xfId="815"/>
    <cellStyle name="Neutral 2" xfId="144"/>
    <cellStyle name="Neutral 2 2" xfId="443"/>
    <cellStyle name="Neutral 2 3" xfId="444"/>
    <cellStyle name="Neutral 2 4" xfId="816"/>
    <cellStyle name="Neutral 3" xfId="145"/>
    <cellStyle name="Neutral 3 2" xfId="445"/>
    <cellStyle name="Neutral 4" xfId="817"/>
    <cellStyle name="New_normal" xfId="146"/>
    <cellStyle name="Normal" xfId="0" builtinId="0"/>
    <cellStyle name="Normal - Style1" xfId="147"/>
    <cellStyle name="Normal - Style2" xfId="148"/>
    <cellStyle name="Normal - Style3" xfId="149"/>
    <cellStyle name="Normal - Style4" xfId="150"/>
    <cellStyle name="Normal - Style5" xfId="151"/>
    <cellStyle name="Normal 10" xfId="152"/>
    <cellStyle name="Normal 10 2" xfId="153"/>
    <cellStyle name="Normal 10 2 2" xfId="154"/>
    <cellStyle name="Normal 10 2 2 2" xfId="818"/>
    <cellStyle name="Normal 10 2 2 2 2" xfId="819"/>
    <cellStyle name="Normal 10 2 2 3" xfId="820"/>
    <cellStyle name="Normal 10 2 3" xfId="446"/>
    <cellStyle name="Normal 10 2 3 2" xfId="821"/>
    <cellStyle name="Normal 10 2 4" xfId="447"/>
    <cellStyle name="Normal 10 2 4 2" xfId="822"/>
    <cellStyle name="Normal 10 2 5" xfId="553"/>
    <cellStyle name="Normal 10 3" xfId="448"/>
    <cellStyle name="Normal 10 3 2" xfId="823"/>
    <cellStyle name="Normal 10 3 2 2" xfId="824"/>
    <cellStyle name="Normal 10 3 3" xfId="825"/>
    <cellStyle name="Normal 10 4" xfId="826"/>
    <cellStyle name="Normal 10 4 2" xfId="827"/>
    <cellStyle name="Normal 10 5" xfId="828"/>
    <cellStyle name="Normal 10_2112 DF Schedule" xfId="155"/>
    <cellStyle name="Normal 100" xfId="449"/>
    <cellStyle name="Normal 100 2" xfId="829"/>
    <cellStyle name="Normal 101" xfId="450"/>
    <cellStyle name="Normal 101 2" xfId="830"/>
    <cellStyle name="Normal 102" xfId="451"/>
    <cellStyle name="Normal 102 2" xfId="831"/>
    <cellStyle name="Normal 103" xfId="452"/>
    <cellStyle name="Normal 103 2" xfId="832"/>
    <cellStyle name="Normal 104" xfId="453"/>
    <cellStyle name="Normal 104 2" xfId="833"/>
    <cellStyle name="Normal 105" xfId="454"/>
    <cellStyle name="Normal 105 2" xfId="834"/>
    <cellStyle name="Normal 106" xfId="455"/>
    <cellStyle name="Normal 107" xfId="456"/>
    <cellStyle name="Normal 107 2" xfId="835"/>
    <cellStyle name="Normal 108" xfId="457"/>
    <cellStyle name="Normal 108 2" xfId="836"/>
    <cellStyle name="Normal 109" xfId="458"/>
    <cellStyle name="Normal 109 2" xfId="837"/>
    <cellStyle name="Normal 109 3" xfId="838"/>
    <cellStyle name="Normal 11" xfId="156"/>
    <cellStyle name="Normal 11 2" xfId="459"/>
    <cellStyle name="Normal 11 2 2" xfId="460"/>
    <cellStyle name="Normal 11 2 2 2" xfId="839"/>
    <cellStyle name="Normal 11 2 2 2 2" xfId="840"/>
    <cellStyle name="Normal 11 2 2 3" xfId="841"/>
    <cellStyle name="Normal 11 2 3" xfId="842"/>
    <cellStyle name="Normal 11 2 3 2" xfId="843"/>
    <cellStyle name="Normal 11 2 4" xfId="844"/>
    <cellStyle name="Normal 11 3" xfId="845"/>
    <cellStyle name="Normal 11 3 2" xfId="846"/>
    <cellStyle name="Normal 11 3 2 2" xfId="847"/>
    <cellStyle name="Normal 11 3 3" xfId="848"/>
    <cellStyle name="Normal 11 4" xfId="849"/>
    <cellStyle name="Normal 11 4 2" xfId="850"/>
    <cellStyle name="Normal 11 5" xfId="851"/>
    <cellStyle name="Normal 110" xfId="461"/>
    <cellStyle name="Normal 110 2" xfId="852"/>
    <cellStyle name="Normal 111" xfId="462"/>
    <cellStyle name="Normal 111 2" xfId="853"/>
    <cellStyle name="Normal 111 3" xfId="854"/>
    <cellStyle name="Normal 112" xfId="855"/>
    <cellStyle name="Normal 112 2" xfId="856"/>
    <cellStyle name="Normal 112 3" xfId="857"/>
    <cellStyle name="Normal 113" xfId="858"/>
    <cellStyle name="Normal 113 2" xfId="859"/>
    <cellStyle name="Normal 113 3" xfId="860"/>
    <cellStyle name="Normal 114" xfId="861"/>
    <cellStyle name="Normal 115" xfId="862"/>
    <cellStyle name="Normal 116" xfId="863"/>
    <cellStyle name="Normal 117" xfId="864"/>
    <cellStyle name="Normal 117 2" xfId="865"/>
    <cellStyle name="Normal 118" xfId="866"/>
    <cellStyle name="Normal 12" xfId="157"/>
    <cellStyle name="Normal 12 2" xfId="463"/>
    <cellStyle name="Normal 12 2 2" xfId="867"/>
    <cellStyle name="Normal 12 2 2 2" xfId="868"/>
    <cellStyle name="Normal 12 2 2 2 2" xfId="869"/>
    <cellStyle name="Normal 12 2 2 3" xfId="870"/>
    <cellStyle name="Normal 12 2 3" xfId="871"/>
    <cellStyle name="Normal 12 2 3 2" xfId="872"/>
    <cellStyle name="Normal 12 2 4" xfId="873"/>
    <cellStyle name="Normal 12 3" xfId="464"/>
    <cellStyle name="Normal 12 3 2" xfId="874"/>
    <cellStyle name="Normal 12 3 2 2" xfId="875"/>
    <cellStyle name="Normal 12 3 3" xfId="876"/>
    <cellStyle name="Normal 12 4" xfId="465"/>
    <cellStyle name="Normal 12 4 2" xfId="877"/>
    <cellStyle name="Normal 12 5" xfId="466"/>
    <cellStyle name="Normal 12 6" xfId="878"/>
    <cellStyle name="Normal 12 7" xfId="879"/>
    <cellStyle name="Normal 12_Sheet1" xfId="467"/>
    <cellStyle name="Normal 13" xfId="158"/>
    <cellStyle name="Normal 13 2" xfId="468"/>
    <cellStyle name="Normal 13 2 2" xfId="880"/>
    <cellStyle name="Normal 13 2 2 2" xfId="881"/>
    <cellStyle name="Normal 13 2 2 2 2" xfId="882"/>
    <cellStyle name="Normal 13 2 2 3" xfId="883"/>
    <cellStyle name="Normal 13 2 3" xfId="884"/>
    <cellStyle name="Normal 13 2 3 2" xfId="885"/>
    <cellStyle name="Normal 13 2 4" xfId="886"/>
    <cellStyle name="Normal 13 3" xfId="469"/>
    <cellStyle name="Normal 13 3 2" xfId="887"/>
    <cellStyle name="Normal 13 3 2 2" xfId="888"/>
    <cellStyle name="Normal 13 3 3" xfId="889"/>
    <cellStyle name="Normal 13 4" xfId="470"/>
    <cellStyle name="Normal 13 4 2" xfId="890"/>
    <cellStyle name="Normal 13 5" xfId="471"/>
    <cellStyle name="Normal 13 6" xfId="891"/>
    <cellStyle name="Normal 13 7" xfId="892"/>
    <cellStyle name="Normal 13_Sheet1" xfId="472"/>
    <cellStyle name="Normal 14" xfId="159"/>
    <cellStyle name="Normal 14 2" xfId="473"/>
    <cellStyle name="Normal 14 2 2" xfId="893"/>
    <cellStyle name="Normal 14 2 2 2" xfId="894"/>
    <cellStyle name="Normal 14 2 3" xfId="895"/>
    <cellStyle name="Normal 14 3" xfId="474"/>
    <cellStyle name="Normal 14 3 2" xfId="896"/>
    <cellStyle name="Normal 14 4" xfId="475"/>
    <cellStyle name="Normal 14 5" xfId="897"/>
    <cellStyle name="Normal 14_Sheet1" xfId="476"/>
    <cellStyle name="Normal 15" xfId="160"/>
    <cellStyle name="Normal 15 2" xfId="477"/>
    <cellStyle name="Normal 15 2 2" xfId="898"/>
    <cellStyle name="Normal 15 2 2 2" xfId="899"/>
    <cellStyle name="Normal 15 2 3" xfId="900"/>
    <cellStyle name="Normal 15 3" xfId="478"/>
    <cellStyle name="Normal 15 3 2" xfId="901"/>
    <cellStyle name="Normal 15 4" xfId="479"/>
    <cellStyle name="Normal 15 5" xfId="902"/>
    <cellStyle name="Normal 16" xfId="161"/>
    <cellStyle name="Normal 16 2" xfId="480"/>
    <cellStyle name="Normal 16 2 2" xfId="903"/>
    <cellStyle name="Normal 16 2 2 2" xfId="904"/>
    <cellStyle name="Normal 16 3" xfId="481"/>
    <cellStyle name="Normal 16 3 2" xfId="905"/>
    <cellStyle name="Normal 16 3 2 2" xfId="906"/>
    <cellStyle name="Normal 16 3 3" xfId="907"/>
    <cellStyle name="Normal 16 4" xfId="908"/>
    <cellStyle name="Normal 16 4 2" xfId="909"/>
    <cellStyle name="Normal 16 5" xfId="910"/>
    <cellStyle name="Normal 16 6" xfId="911"/>
    <cellStyle name="Normal 17" xfId="162"/>
    <cellStyle name="Normal 17 2" xfId="482"/>
    <cellStyle name="Normal 17 2 2" xfId="912"/>
    <cellStyle name="Normal 17 2 2 2" xfId="913"/>
    <cellStyle name="Normal 17 3" xfId="483"/>
    <cellStyle name="Normal 17 3 2" xfId="914"/>
    <cellStyle name="Normal 17 4" xfId="915"/>
    <cellStyle name="Normal 18" xfId="163"/>
    <cellStyle name="Normal 18 2" xfId="484"/>
    <cellStyle name="Normal 18 2 2" xfId="916"/>
    <cellStyle name="Normal 18 2 2 2" xfId="917"/>
    <cellStyle name="Normal 18 2 3" xfId="918"/>
    <cellStyle name="Normal 18 3" xfId="485"/>
    <cellStyle name="Normal 18 3 2" xfId="919"/>
    <cellStyle name="Normal 18 3 2 2" xfId="920"/>
    <cellStyle name="Normal 18 3 3" xfId="921"/>
    <cellStyle name="Normal 18 4" xfId="922"/>
    <cellStyle name="Normal 18 4 2" xfId="923"/>
    <cellStyle name="Normal 18 5" xfId="924"/>
    <cellStyle name="Normal 18 5 2" xfId="925"/>
    <cellStyle name="Normal 18 6" xfId="926"/>
    <cellStyle name="Normal 18 7" xfId="927"/>
    <cellStyle name="Normal 19" xfId="164"/>
    <cellStyle name="Normal 19 2" xfId="486"/>
    <cellStyle name="Normal 19 2 2" xfId="928"/>
    <cellStyle name="Normal 19 3" xfId="487"/>
    <cellStyle name="Normal 19 3 2" xfId="929"/>
    <cellStyle name="Normal 19 4" xfId="930"/>
    <cellStyle name="Normal 2" xfId="165"/>
    <cellStyle name="Normal 2 10" xfId="488"/>
    <cellStyle name="Normal 2 11" xfId="489"/>
    <cellStyle name="Normal 2 2" xfId="166"/>
    <cellStyle name="Normal 2 2 2" xfId="167"/>
    <cellStyle name="Normal 2 2 2 2" xfId="490"/>
    <cellStyle name="Normal 2 2 2_JE_IS11" xfId="931"/>
    <cellStyle name="Normal 2 2 3" xfId="168"/>
    <cellStyle name="Normal 2 2 4" xfId="491"/>
    <cellStyle name="Normal 2 2 5" xfId="932"/>
    <cellStyle name="Normal 2 2 6" xfId="933"/>
    <cellStyle name="Normal 2 2 7" xfId="934"/>
    <cellStyle name="Normal 2 2 8" xfId="935"/>
    <cellStyle name="Normal 2 2_4MthProj2" xfId="492"/>
    <cellStyle name="Normal 2 3" xfId="169"/>
    <cellStyle name="Normal 2 3 2" xfId="170"/>
    <cellStyle name="Normal 2 3 2 2" xfId="936"/>
    <cellStyle name="Normal 2 3 2 3" xfId="937"/>
    <cellStyle name="Normal 2 3 3" xfId="171"/>
    <cellStyle name="Normal 2 3 3 2" xfId="938"/>
    <cellStyle name="Normal 2 3 3 2 2" xfId="939"/>
    <cellStyle name="Normal 2 3 3 3" xfId="940"/>
    <cellStyle name="Normal 2 3 4" xfId="941"/>
    <cellStyle name="Normal 2 3 4 2" xfId="942"/>
    <cellStyle name="Normal 2 3 5" xfId="943"/>
    <cellStyle name="Normal 2 3_4MthProj2" xfId="493"/>
    <cellStyle name="Normal 2 4" xfId="172"/>
    <cellStyle name="Normal 2 4 2" xfId="494"/>
    <cellStyle name="Normal 2 4 2 2" xfId="944"/>
    <cellStyle name="Normal 2 4 3" xfId="945"/>
    <cellStyle name="Normal 2 4 3 2" xfId="946"/>
    <cellStyle name="Normal 2 5" xfId="173"/>
    <cellStyle name="Normal 2 5 2" xfId="947"/>
    <cellStyle name="Normal 2 5 3" xfId="948"/>
    <cellStyle name="Normal 2 6" xfId="174"/>
    <cellStyle name="Normal 2 6 2" xfId="560"/>
    <cellStyle name="Normal 2 6 2 2" xfId="949"/>
    <cellStyle name="Normal 2 6 3" xfId="950"/>
    <cellStyle name="Normal 2 7" xfId="495"/>
    <cellStyle name="Normal 2 7 2" xfId="951"/>
    <cellStyle name="Normal 2 8" xfId="496"/>
    <cellStyle name="Normal 2 9" xfId="497"/>
    <cellStyle name="Normal 2_2009 Regulated Price Out" xfId="498"/>
    <cellStyle name="Normal 20" xfId="175"/>
    <cellStyle name="Normal 20 2" xfId="499"/>
    <cellStyle name="Normal 20 2 2" xfId="952"/>
    <cellStyle name="Normal 20 2 3" xfId="953"/>
    <cellStyle name="Normal 20 3" xfId="500"/>
    <cellStyle name="Normal 20 4" xfId="954"/>
    <cellStyle name="Normal 20 4 2" xfId="955"/>
    <cellStyle name="Normal 20 5" xfId="956"/>
    <cellStyle name="Normal 20 6" xfId="957"/>
    <cellStyle name="Normal 21" xfId="176"/>
    <cellStyle name="Normal 21 2" xfId="501"/>
    <cellStyle name="Normal 21 2 2" xfId="958"/>
    <cellStyle name="Normal 21 3" xfId="959"/>
    <cellStyle name="Normal 21 3 2" xfId="960"/>
    <cellStyle name="Normal 21 4" xfId="961"/>
    <cellStyle name="Normal 22" xfId="177"/>
    <cellStyle name="Normal 22 2" xfId="502"/>
    <cellStyle name="Normal 22 2 2" xfId="962"/>
    <cellStyle name="Normal 22 3" xfId="963"/>
    <cellStyle name="Normal 22 3 2" xfId="964"/>
    <cellStyle name="Normal 22 4" xfId="965"/>
    <cellStyle name="Normal 23" xfId="178"/>
    <cellStyle name="Normal 23 2" xfId="503"/>
    <cellStyle name="Normal 23 2 2" xfId="966"/>
    <cellStyle name="Normal 23 2 3" xfId="967"/>
    <cellStyle name="Normal 23 3" xfId="968"/>
    <cellStyle name="Normal 23 3 2" xfId="969"/>
    <cellStyle name="Normal 23 3 3" xfId="970"/>
    <cellStyle name="Normal 23 4" xfId="971"/>
    <cellStyle name="Normal 24" xfId="179"/>
    <cellStyle name="Normal 24 2" xfId="504"/>
    <cellStyle name="Normal 24 2 2" xfId="972"/>
    <cellStyle name="Normal 24 2 3" xfId="973"/>
    <cellStyle name="Normal 24 3" xfId="974"/>
    <cellStyle name="Normal 24 3 2" xfId="975"/>
    <cellStyle name="Normal 24 4" xfId="976"/>
    <cellStyle name="Normal 25" xfId="180"/>
    <cellStyle name="Normal 25 2" xfId="977"/>
    <cellStyle name="Normal 25 2 2" xfId="978"/>
    <cellStyle name="Normal 25 3" xfId="979"/>
    <cellStyle name="Normal 25 4" xfId="980"/>
    <cellStyle name="Normal 26" xfId="181"/>
    <cellStyle name="Normal 26 2" xfId="981"/>
    <cellStyle name="Normal 26 2 2" xfId="982"/>
    <cellStyle name="Normal 26 3" xfId="983"/>
    <cellStyle name="Normal 26 4" xfId="984"/>
    <cellStyle name="Normal 27" xfId="182"/>
    <cellStyle name="Normal 27 2" xfId="505"/>
    <cellStyle name="Normal 27 2 2" xfId="985"/>
    <cellStyle name="Normal 27 2 2 2" xfId="986"/>
    <cellStyle name="Normal 27 3" xfId="987"/>
    <cellStyle name="Normal 27 3 2" xfId="988"/>
    <cellStyle name="Normal 27 4" xfId="989"/>
    <cellStyle name="Normal 27 5" xfId="990"/>
    <cellStyle name="Normal 28" xfId="183"/>
    <cellStyle name="Normal 28 2" xfId="991"/>
    <cellStyle name="Normal 28 2 2" xfId="992"/>
    <cellStyle name="Normal 28 3" xfId="993"/>
    <cellStyle name="Normal 28 4" xfId="994"/>
    <cellStyle name="Normal 29" xfId="184"/>
    <cellStyle name="Normal 29 2" xfId="995"/>
    <cellStyle name="Normal 29 3" xfId="996"/>
    <cellStyle name="Normal 29 4" xfId="997"/>
    <cellStyle name="Normal 3" xfId="185"/>
    <cellStyle name="Normal 3 2" xfId="186"/>
    <cellStyle name="Normal 3 2 2" xfId="506"/>
    <cellStyle name="Normal 3 2 2 2" xfId="998"/>
    <cellStyle name="Normal 3 2 2 2 2" xfId="999"/>
    <cellStyle name="Normal 3 2 3" xfId="1000"/>
    <cellStyle name="Normal 3 2 3 2" xfId="1001"/>
    <cellStyle name="Normal 3 3" xfId="187"/>
    <cellStyle name="Normal 3 3 2" xfId="507"/>
    <cellStyle name="Normal 3 3 2 2" xfId="1002"/>
    <cellStyle name="Normal 3 3 3" xfId="1003"/>
    <cellStyle name="Normal 3 3 4" xfId="1004"/>
    <cellStyle name="Normal 3 4" xfId="508"/>
    <cellStyle name="Normal 3 4 2" xfId="556"/>
    <cellStyle name="Normal 3_2012 PR" xfId="188"/>
    <cellStyle name="Normal 30" xfId="189"/>
    <cellStyle name="Normal 30 2" xfId="1005"/>
    <cellStyle name="Normal 30 3" xfId="1006"/>
    <cellStyle name="Normal 30 4" xfId="1007"/>
    <cellStyle name="Normal 31" xfId="190"/>
    <cellStyle name="Normal 31 2" xfId="509"/>
    <cellStyle name="Normal 31 2 2" xfId="1008"/>
    <cellStyle name="Normal 31 2 2 2" xfId="1009"/>
    <cellStyle name="Normal 31 2 3" xfId="1010"/>
    <cellStyle name="Normal 31 3" xfId="1011"/>
    <cellStyle name="Normal 31 3 2" xfId="1012"/>
    <cellStyle name="Normal 31 3 3" xfId="1013"/>
    <cellStyle name="Normal 31 4" xfId="1014"/>
    <cellStyle name="Normal 31 4 2" xfId="1015"/>
    <cellStyle name="Normal 32" xfId="191"/>
    <cellStyle name="Normal 32 2" xfId="1016"/>
    <cellStyle name="Normal 32 2 2" xfId="1017"/>
    <cellStyle name="Normal 32 2 2 2" xfId="1018"/>
    <cellStyle name="Normal 32 2 3" xfId="1019"/>
    <cellStyle name="Normal 32 3" xfId="1020"/>
    <cellStyle name="Normal 32 3 2" xfId="1021"/>
    <cellStyle name="Normal 32 4" xfId="1022"/>
    <cellStyle name="Normal 32 4 2" xfId="1023"/>
    <cellStyle name="Normal 33" xfId="192"/>
    <cellStyle name="Normal 33 2" xfId="1024"/>
    <cellStyle name="Normal 33 3" xfId="1025"/>
    <cellStyle name="Normal 34" xfId="193"/>
    <cellStyle name="Normal 34 2" xfId="1026"/>
    <cellStyle name="Normal 34 3" xfId="1027"/>
    <cellStyle name="Normal 35" xfId="194"/>
    <cellStyle name="Normal 35 2" xfId="1028"/>
    <cellStyle name="Normal 35 2 2" xfId="1029"/>
    <cellStyle name="Normal 35 3" xfId="1030"/>
    <cellStyle name="Normal 35 3 2" xfId="1031"/>
    <cellStyle name="Normal 36" xfId="195"/>
    <cellStyle name="Normal 36 2" xfId="1032"/>
    <cellStyle name="Normal 36 2 2" xfId="1033"/>
    <cellStyle name="Normal 36 3" xfId="1034"/>
    <cellStyle name="Normal 37" xfId="196"/>
    <cellStyle name="Normal 37 2" xfId="1035"/>
    <cellStyle name="Normal 37 2 2" xfId="1036"/>
    <cellStyle name="Normal 37 3" xfId="1037"/>
    <cellStyle name="Normal 38" xfId="197"/>
    <cellStyle name="Normal 38 2" xfId="1038"/>
    <cellStyle name="Normal 38 2 2" xfId="1039"/>
    <cellStyle name="Normal 38 3" xfId="1040"/>
    <cellStyle name="Normal 39" xfId="198"/>
    <cellStyle name="Normal 39 2" xfId="1041"/>
    <cellStyle name="Normal 39 2 2" xfId="1042"/>
    <cellStyle name="Normal 39 3" xfId="1043"/>
    <cellStyle name="Normal 4" xfId="199"/>
    <cellStyle name="Normal 4 2" xfId="200"/>
    <cellStyle name="Normal 4 2 2" xfId="510"/>
    <cellStyle name="Normal 4 2 2 2" xfId="1044"/>
    <cellStyle name="Normal 4 2 3" xfId="1045"/>
    <cellStyle name="Normal 4 2 4" xfId="1046"/>
    <cellStyle name="Normal 4 3" xfId="511"/>
    <cellStyle name="Normal 4 3 2" xfId="512"/>
    <cellStyle name="Normal 4 3 2 2" xfId="1047"/>
    <cellStyle name="Normal 4 3 3" xfId="1048"/>
    <cellStyle name="Normal 4 4" xfId="1049"/>
    <cellStyle name="Normal 4 4 2" xfId="1050"/>
    <cellStyle name="Normal 4 5" xfId="1051"/>
    <cellStyle name="Normal 4_B&amp;O Taxes" xfId="1052"/>
    <cellStyle name="Normal 40" xfId="201"/>
    <cellStyle name="Normal 40 2" xfId="1053"/>
    <cellStyle name="Normal 40 2 2" xfId="1054"/>
    <cellStyle name="Normal 40 3" xfId="1055"/>
    <cellStyle name="Normal 41" xfId="202"/>
    <cellStyle name="Normal 41 2" xfId="1056"/>
    <cellStyle name="Normal 41 2 2" xfId="1057"/>
    <cellStyle name="Normal 41 3" xfId="1058"/>
    <cellStyle name="Normal 42" xfId="203"/>
    <cellStyle name="Normal 42 2" xfId="1059"/>
    <cellStyle name="Normal 42 3" xfId="1060"/>
    <cellStyle name="Normal 43" xfId="204"/>
    <cellStyle name="Normal 43 2" xfId="1061"/>
    <cellStyle name="Normal 43 3" xfId="1062"/>
    <cellStyle name="Normal 44" xfId="205"/>
    <cellStyle name="Normal 44 2" xfId="1063"/>
    <cellStyle name="Normal 44 2 2" xfId="1064"/>
    <cellStyle name="Normal 44 3" xfId="1065"/>
    <cellStyle name="Normal 45" xfId="206"/>
    <cellStyle name="Normal 45 2" xfId="1066"/>
    <cellStyle name="Normal 45 3" xfId="1067"/>
    <cellStyle name="Normal 46" xfId="207"/>
    <cellStyle name="Normal 46 2" xfId="1068"/>
    <cellStyle name="Normal 46 3" xfId="1069"/>
    <cellStyle name="Normal 47" xfId="208"/>
    <cellStyle name="Normal 47 2" xfId="1070"/>
    <cellStyle name="Normal 47 3" xfId="1071"/>
    <cellStyle name="Normal 48" xfId="209"/>
    <cellStyle name="Normal 48 2" xfId="1072"/>
    <cellStyle name="Normal 48 3" xfId="1073"/>
    <cellStyle name="Normal 49" xfId="210"/>
    <cellStyle name="Normal 49 2" xfId="1074"/>
    <cellStyle name="Normal 49 3" xfId="1075"/>
    <cellStyle name="Normal 5" xfId="211"/>
    <cellStyle name="Normal 5 2" xfId="212"/>
    <cellStyle name="Normal 5 2 2" xfId="1076"/>
    <cellStyle name="Normal 5 2 2 2" xfId="1077"/>
    <cellStyle name="Normal 5 2 2 2 2" xfId="1078"/>
    <cellStyle name="Normal 5 2 2 3" xfId="1079"/>
    <cellStyle name="Normal 5 2 3" xfId="1080"/>
    <cellStyle name="Normal 5 2 3 2" xfId="1081"/>
    <cellStyle name="Normal 5 2 4" xfId="1082"/>
    <cellStyle name="Normal 5 3" xfId="513"/>
    <cellStyle name="Normal 5 3 2" xfId="1083"/>
    <cellStyle name="Normal 5 3 2 2" xfId="1084"/>
    <cellStyle name="Normal 5 3 3" xfId="1085"/>
    <cellStyle name="Normal 5 4" xfId="514"/>
    <cellStyle name="Normal 5 4 2" xfId="1086"/>
    <cellStyle name="Normal 5 5" xfId="1087"/>
    <cellStyle name="Normal 5_2112 DF Schedule" xfId="213"/>
    <cellStyle name="Normal 50" xfId="214"/>
    <cellStyle name="Normal 50 2" xfId="1088"/>
    <cellStyle name="Normal 50 3" xfId="1089"/>
    <cellStyle name="Normal 51" xfId="215"/>
    <cellStyle name="Normal 51 2" xfId="1090"/>
    <cellStyle name="Normal 51 3" xfId="1091"/>
    <cellStyle name="Normal 52" xfId="216"/>
    <cellStyle name="Normal 52 2" xfId="1092"/>
    <cellStyle name="Normal 52 3" xfId="1093"/>
    <cellStyle name="Normal 53" xfId="217"/>
    <cellStyle name="Normal 53 2" xfId="1094"/>
    <cellStyle name="Normal 53 3" xfId="1095"/>
    <cellStyle name="Normal 54" xfId="218"/>
    <cellStyle name="Normal 54 2" xfId="1096"/>
    <cellStyle name="Normal 54 3" xfId="1097"/>
    <cellStyle name="Normal 55" xfId="219"/>
    <cellStyle name="Normal 55 2" xfId="1098"/>
    <cellStyle name="Normal 55 3" xfId="1099"/>
    <cellStyle name="Normal 56" xfId="220"/>
    <cellStyle name="Normal 56 2" xfId="1100"/>
    <cellStyle name="Normal 56 3" xfId="1101"/>
    <cellStyle name="Normal 57" xfId="221"/>
    <cellStyle name="Normal 57 2" xfId="1102"/>
    <cellStyle name="Normal 57 3" xfId="1103"/>
    <cellStyle name="Normal 58" xfId="222"/>
    <cellStyle name="Normal 58 2" xfId="1104"/>
    <cellStyle name="Normal 58 3" xfId="1105"/>
    <cellStyle name="Normal 59" xfId="223"/>
    <cellStyle name="Normal 59 2" xfId="1106"/>
    <cellStyle name="Normal 59 3" xfId="1107"/>
    <cellStyle name="Normal 6" xfId="224"/>
    <cellStyle name="Normal 6 2" xfId="313"/>
    <cellStyle name="Normal 6 2 2" xfId="515"/>
    <cellStyle name="Normal 6 2 2 2" xfId="1108"/>
    <cellStyle name="Normal 6 2 2 2 2" xfId="1109"/>
    <cellStyle name="Normal 6 2 2 3" xfId="1110"/>
    <cellStyle name="Normal 6 2 3" xfId="1111"/>
    <cellStyle name="Normal 6 2 3 2" xfId="1112"/>
    <cellStyle name="Normal 6 2 4" xfId="1113"/>
    <cellStyle name="Normal 6 3" xfId="516"/>
    <cellStyle name="Normal 6 3 2" xfId="1114"/>
    <cellStyle name="Normal 6 3 2 2" xfId="1115"/>
    <cellStyle name="Normal 6 3 3" xfId="1116"/>
    <cellStyle name="Normal 6 4" xfId="1117"/>
    <cellStyle name="Normal 6 4 2" xfId="1118"/>
    <cellStyle name="Normal 6 5" xfId="1119"/>
    <cellStyle name="Normal 60" xfId="225"/>
    <cellStyle name="Normal 60 2" xfId="1120"/>
    <cellStyle name="Normal 60 3" xfId="1121"/>
    <cellStyle name="Normal 61" xfId="226"/>
    <cellStyle name="Normal 61 2" xfId="1122"/>
    <cellStyle name="Normal 61 3" xfId="1123"/>
    <cellStyle name="Normal 62" xfId="227"/>
    <cellStyle name="Normal 62 2" xfId="1124"/>
    <cellStyle name="Normal 62 3" xfId="1125"/>
    <cellStyle name="Normal 63" xfId="228"/>
    <cellStyle name="Normal 63 2" xfId="1126"/>
    <cellStyle name="Normal 63 3" xfId="1127"/>
    <cellStyle name="Normal 64" xfId="229"/>
    <cellStyle name="Normal 64 2" xfId="1128"/>
    <cellStyle name="Normal 64 3" xfId="1129"/>
    <cellStyle name="Normal 65" xfId="230"/>
    <cellStyle name="Normal 65 2" xfId="1130"/>
    <cellStyle name="Normal 65 3" xfId="1131"/>
    <cellStyle name="Normal 66" xfId="231"/>
    <cellStyle name="Normal 66 2" xfId="1132"/>
    <cellStyle name="Normal 66 3" xfId="1133"/>
    <cellStyle name="Normal 67" xfId="232"/>
    <cellStyle name="Normal 67 2" xfId="1134"/>
    <cellStyle name="Normal 67 3" xfId="1135"/>
    <cellStyle name="Normal 68" xfId="233"/>
    <cellStyle name="Normal 68 2" xfId="1136"/>
    <cellStyle name="Normal 68 3" xfId="1137"/>
    <cellStyle name="Normal 69" xfId="234"/>
    <cellStyle name="Normal 69 2" xfId="1138"/>
    <cellStyle name="Normal 69 3" xfId="1139"/>
    <cellStyle name="Normal 7" xfId="235"/>
    <cellStyle name="Normal 7 2" xfId="236"/>
    <cellStyle name="Normal 7 2 2" xfId="517"/>
    <cellStyle name="Normal 7 2 2 2" xfId="1140"/>
    <cellStyle name="Normal 7 2 2 2 2" xfId="1141"/>
    <cellStyle name="Normal 7 2 2 2 2 2" xfId="1142"/>
    <cellStyle name="Normal 7 2 2 2 3" xfId="1143"/>
    <cellStyle name="Normal 7 2 2 3" xfId="1144"/>
    <cellStyle name="Normal 7 2 2 3 2" xfId="1145"/>
    <cellStyle name="Normal 7 2 2 4" xfId="1146"/>
    <cellStyle name="Normal 7 2 3" xfId="1147"/>
    <cellStyle name="Normal 7 2 3 2" xfId="1148"/>
    <cellStyle name="Normal 7 2 3 2 2" xfId="1149"/>
    <cellStyle name="Normal 7 2 3 3" xfId="1150"/>
    <cellStyle name="Normal 7 2 4" xfId="1151"/>
    <cellStyle name="Normal 7 2 4 2" xfId="1152"/>
    <cellStyle name="Normal 7 2 5" xfId="1153"/>
    <cellStyle name="Normal 7 3" xfId="1154"/>
    <cellStyle name="Normal 7 3 2" xfId="1155"/>
    <cellStyle name="Normal 7 3 2 2" xfId="1156"/>
    <cellStyle name="Normal 7 3 2 2 2" xfId="1157"/>
    <cellStyle name="Normal 7 3 2 3" xfId="1158"/>
    <cellStyle name="Normal 7 3 3" xfId="1159"/>
    <cellStyle name="Normal 7 3 3 2" xfId="1160"/>
    <cellStyle name="Normal 7 3 4" xfId="1161"/>
    <cellStyle name="Normal 7 4" xfId="1162"/>
    <cellStyle name="Normal 7 4 2" xfId="1163"/>
    <cellStyle name="Normal 7 4 2 2" xfId="1164"/>
    <cellStyle name="Normal 7 4 3" xfId="1165"/>
    <cellStyle name="Normal 7 5" xfId="1166"/>
    <cellStyle name="Normal 7 5 2" xfId="1167"/>
    <cellStyle name="Normal 7 6" xfId="1168"/>
    <cellStyle name="Normal 70" xfId="237"/>
    <cellStyle name="Normal 70 2" xfId="1169"/>
    <cellStyle name="Normal 70 3" xfId="1170"/>
    <cellStyle name="Normal 71" xfId="238"/>
    <cellStyle name="Normal 72" xfId="239"/>
    <cellStyle name="Normal 73" xfId="240"/>
    <cellStyle name="Normal 74" xfId="241"/>
    <cellStyle name="Normal 75" xfId="242"/>
    <cellStyle name="Normal 76" xfId="243"/>
    <cellStyle name="Normal 77" xfId="244"/>
    <cellStyle name="Normal 78" xfId="245"/>
    <cellStyle name="Normal 79" xfId="246"/>
    <cellStyle name="Normal 8" xfId="247"/>
    <cellStyle name="Normal 8 2" xfId="518"/>
    <cellStyle name="Normal 8 2 2" xfId="519"/>
    <cellStyle name="Normal 8 2 2 2" xfId="1171"/>
    <cellStyle name="Normal 8 2 2 2 2" xfId="1172"/>
    <cellStyle name="Normal 8 2 2 3" xfId="1173"/>
    <cellStyle name="Normal 8 2 3" xfId="1174"/>
    <cellStyle name="Normal 8 2 3 2" xfId="1175"/>
    <cellStyle name="Normal 8 2 4" xfId="1176"/>
    <cellStyle name="Normal 8 3" xfId="1177"/>
    <cellStyle name="Normal 8 3 2" xfId="1178"/>
    <cellStyle name="Normal 8 3 2 2" xfId="1179"/>
    <cellStyle name="Normal 8 3 3" xfId="1180"/>
    <cellStyle name="Normal 8 4" xfId="1181"/>
    <cellStyle name="Normal 8 4 2" xfId="1182"/>
    <cellStyle name="Normal 8 5" xfId="1183"/>
    <cellStyle name="Normal 80" xfId="248"/>
    <cellStyle name="Normal 81" xfId="249"/>
    <cellStyle name="Normal 82" xfId="250"/>
    <cellStyle name="Normal 83" xfId="251"/>
    <cellStyle name="Normal 84" xfId="252"/>
    <cellStyle name="Normal 84 2" xfId="314"/>
    <cellStyle name="Normal 84 3" xfId="520"/>
    <cellStyle name="Normal 85" xfId="253"/>
    <cellStyle name="Normal 85 2" xfId="521"/>
    <cellStyle name="Normal 85 2 2" xfId="1184"/>
    <cellStyle name="Normal 85 3" xfId="522"/>
    <cellStyle name="Normal 86" xfId="315"/>
    <cellStyle name="Normal 86 2" xfId="1185"/>
    <cellStyle name="Normal 86 3" xfId="1186"/>
    <cellStyle name="Normal 87" xfId="316"/>
    <cellStyle name="Normal 87 2" xfId="1187"/>
    <cellStyle name="Normal 88" xfId="317"/>
    <cellStyle name="Normal 88 2" xfId="1188"/>
    <cellStyle name="Normal 89" xfId="318"/>
    <cellStyle name="Normal 9" xfId="254"/>
    <cellStyle name="Normal 9 2" xfId="523"/>
    <cellStyle name="Normal 9 2 2" xfId="524"/>
    <cellStyle name="Normal 9 2 2 2" xfId="1189"/>
    <cellStyle name="Normal 9 2 2 2 2" xfId="1190"/>
    <cellStyle name="Normal 9 2 2 3" xfId="1191"/>
    <cellStyle name="Normal 9 2 3" xfId="1192"/>
    <cellStyle name="Normal 9 2 3 2" xfId="1193"/>
    <cellStyle name="Normal 9 2 4" xfId="1194"/>
    <cellStyle name="Normal 9 3" xfId="1195"/>
    <cellStyle name="Normal 9 3 2" xfId="1196"/>
    <cellStyle name="Normal 9 3 2 2" xfId="1197"/>
    <cellStyle name="Normal 9 3 3" xfId="1198"/>
    <cellStyle name="Normal 9 4" xfId="1199"/>
    <cellStyle name="Normal 9 4 2" xfId="1200"/>
    <cellStyle name="Normal 9 5" xfId="1201"/>
    <cellStyle name="Normal 90" xfId="319"/>
    <cellStyle name="Normal 91" xfId="320"/>
    <cellStyle name="Normal 92" xfId="525"/>
    <cellStyle name="Normal 92 2" xfId="1202"/>
    <cellStyle name="Normal 93" xfId="526"/>
    <cellStyle name="Normal 93 2" xfId="1203"/>
    <cellStyle name="Normal 94" xfId="527"/>
    <cellStyle name="Normal 94 2" xfId="1204"/>
    <cellStyle name="Normal 95" xfId="528"/>
    <cellStyle name="Normal 95 2" xfId="1205"/>
    <cellStyle name="Normal 96" xfId="529"/>
    <cellStyle name="Normal 96 2" xfId="1206"/>
    <cellStyle name="Normal 97" xfId="530"/>
    <cellStyle name="Normal 97 2" xfId="1207"/>
    <cellStyle name="Normal 98" xfId="531"/>
    <cellStyle name="Normal 98 2" xfId="1208"/>
    <cellStyle name="Normal 99" xfId="532"/>
    <cellStyle name="Normal 99 2" xfId="1209"/>
    <cellStyle name="Normal_Regulated Price Out 9-6-2011 Final HL" xfId="3"/>
    <cellStyle name="Note 2" xfId="255"/>
    <cellStyle name="Note 2 2" xfId="533"/>
    <cellStyle name="Note 2 3" xfId="534"/>
    <cellStyle name="Note 2 4" xfId="1210"/>
    <cellStyle name="Note 3" xfId="256"/>
    <cellStyle name="Note 3 2" xfId="535"/>
    <cellStyle name="Note 3 3" xfId="536"/>
    <cellStyle name="Note 3 4" xfId="1211"/>
    <cellStyle name="Note 4" xfId="257"/>
    <cellStyle name="Note 4 2" xfId="1212"/>
    <cellStyle name="Note 5" xfId="1213"/>
    <cellStyle name="Notes" xfId="258"/>
    <cellStyle name="Output 2" xfId="259"/>
    <cellStyle name="Output 2 2" xfId="1214"/>
    <cellStyle name="Output 2 2 2" xfId="1215"/>
    <cellStyle name="Output 2 3" xfId="1216"/>
    <cellStyle name="Output 3" xfId="260"/>
    <cellStyle name="Output 3 2" xfId="537"/>
    <cellStyle name="Output 4" xfId="1217"/>
    <cellStyle name="Percent" xfId="2" builtinId="5"/>
    <cellStyle name="Percent 10" xfId="538"/>
    <cellStyle name="Percent 10 2" xfId="1218"/>
    <cellStyle name="Percent 10 3" xfId="1219"/>
    <cellStyle name="Percent 2" xfId="261"/>
    <cellStyle name="Percent 2 2" xfId="262"/>
    <cellStyle name="Percent 2 2 2" xfId="321"/>
    <cellStyle name="Percent 2 2 3" xfId="539"/>
    <cellStyle name="Percent 2 3" xfId="263"/>
    <cellStyle name="Percent 2 4" xfId="540"/>
    <cellStyle name="Percent 2 6" xfId="322"/>
    <cellStyle name="Percent 3" xfId="264"/>
    <cellStyle name="Percent 3 2" xfId="323"/>
    <cellStyle name="Percent 3 2 2" xfId="541"/>
    <cellStyle name="Percent 3 2 2 2" xfId="1220"/>
    <cellStyle name="Percent 3 2 2 2 2" xfId="1221"/>
    <cellStyle name="Percent 3 2 2 3" xfId="1222"/>
    <cellStyle name="Percent 3 2 3" xfId="1223"/>
    <cellStyle name="Percent 3 2 3 2" xfId="1224"/>
    <cellStyle name="Percent 3 2 4" xfId="1225"/>
    <cellStyle name="Percent 3 3" xfId="1226"/>
    <cellStyle name="Percent 3 3 2" xfId="1227"/>
    <cellStyle name="Percent 3 3 2 2" xfId="1228"/>
    <cellStyle name="Percent 3 3 3" xfId="1229"/>
    <cellStyle name="Percent 3 4" xfId="1230"/>
    <cellStyle name="Percent 3 4 2" xfId="1231"/>
    <cellStyle name="Percent 3 5" xfId="1232"/>
    <cellStyle name="Percent 3 5 2" xfId="1233"/>
    <cellStyle name="Percent 3 6" xfId="1234"/>
    <cellStyle name="Percent 4" xfId="265"/>
    <cellStyle name="Percent 4 2" xfId="266"/>
    <cellStyle name="Percent 4 3" xfId="542"/>
    <cellStyle name="Percent 4 4" xfId="543"/>
    <cellStyle name="Percent 4 4 2" xfId="1235"/>
    <cellStyle name="Percent 4 4 2 2" xfId="1236"/>
    <cellStyle name="Percent 5" xfId="267"/>
    <cellStyle name="Percent 5 2" xfId="544"/>
    <cellStyle name="Percent 5 2 2" xfId="1237"/>
    <cellStyle name="Percent 5 2 2 2" xfId="1238"/>
    <cellStyle name="Percent 5 2 3" xfId="1239"/>
    <cellStyle name="Percent 5 3" xfId="1240"/>
    <cellStyle name="Percent 5 3 2" xfId="1241"/>
    <cellStyle name="Percent 5 4" xfId="1242"/>
    <cellStyle name="Percent 5 4 2" xfId="1243"/>
    <cellStyle name="Percent 6" xfId="268"/>
    <cellStyle name="Percent 6 2" xfId="545"/>
    <cellStyle name="Percent 6 2 2" xfId="1244"/>
    <cellStyle name="Percent 6 3" xfId="1245"/>
    <cellStyle name="Percent 7" xfId="269"/>
    <cellStyle name="Percent 7 2" xfId="324"/>
    <cellStyle name="Percent 7 2 2" xfId="1246"/>
    <cellStyle name="Percent 7 3" xfId="546"/>
    <cellStyle name="Percent 7 4" xfId="1247"/>
    <cellStyle name="Percent 8" xfId="270"/>
    <cellStyle name="Percent 8 2" xfId="1248"/>
    <cellStyle name="Percent 9" xfId="547"/>
    <cellStyle name="Percent 9 2" xfId="1249"/>
    <cellStyle name="Percent 9 3" xfId="1250"/>
    <cellStyle name="Percent(1)" xfId="271"/>
    <cellStyle name="Percent(2)" xfId="272"/>
    <cellStyle name="Posting_Period" xfId="1251"/>
    <cellStyle name="PRM" xfId="273"/>
    <cellStyle name="PRM 2" xfId="274"/>
    <cellStyle name="PRM 3" xfId="275"/>
    <cellStyle name="PRM_2011-11" xfId="276"/>
    <cellStyle name="PS_Comma" xfId="325"/>
    <cellStyle name="PSChar" xfId="277"/>
    <cellStyle name="PSDate" xfId="326"/>
    <cellStyle name="PSDec" xfId="327"/>
    <cellStyle name="PSHeading" xfId="278"/>
    <cellStyle name="PSInt" xfId="328"/>
    <cellStyle name="PSSpacer" xfId="329"/>
    <cellStyle name="STYL0 - Style1" xfId="279"/>
    <cellStyle name="STYL1 - Style2" xfId="280"/>
    <cellStyle name="STYL2 - Style3" xfId="281"/>
    <cellStyle name="STYL3 - Style4" xfId="282"/>
    <cellStyle name="STYL4 - Style5" xfId="283"/>
    <cellStyle name="STYL5 - Style6" xfId="284"/>
    <cellStyle name="STYL6 - Style7" xfId="285"/>
    <cellStyle name="STYL7 - Style8" xfId="286"/>
    <cellStyle name="Style 1" xfId="287"/>
    <cellStyle name="Style 1 2" xfId="288"/>
    <cellStyle name="STYLE1" xfId="289"/>
    <cellStyle name="STYLE1 2" xfId="1252"/>
    <cellStyle name="sub heading" xfId="290"/>
    <cellStyle name="Tax_Rate" xfId="1253"/>
    <cellStyle name="Title 2" xfId="291"/>
    <cellStyle name="Title 2 2" xfId="1254"/>
    <cellStyle name="Title 2 2 2" xfId="1255"/>
    <cellStyle name="Title 2 3" xfId="1256"/>
    <cellStyle name="Title 3" xfId="292"/>
    <cellStyle name="Title 3 2" xfId="548"/>
    <cellStyle name="Title 4" xfId="1257"/>
    <cellStyle name="Total 2" xfId="293"/>
    <cellStyle name="Total 2 2" xfId="549"/>
    <cellStyle name="Total 2 3" xfId="550"/>
    <cellStyle name="Total 2 4" xfId="1258"/>
    <cellStyle name="Total 3" xfId="294"/>
    <cellStyle name="Total 3 2" xfId="551"/>
    <cellStyle name="Total 3 3" xfId="552"/>
    <cellStyle name="Total 4" xfId="295"/>
    <cellStyle name="Total 4 2" xfId="1259"/>
    <cellStyle name="Transcript_Date" xfId="1260"/>
    <cellStyle name="Warning Text 2" xfId="296"/>
    <cellStyle name="Warning Text 3" xfId="330"/>
    <cellStyle name="Warning Text 4" xfId="1261"/>
    <cellStyle name="WM_STANDARD" xfId="3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6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Annual%20Reports\2180%20LeMay\2009\LeMay%20Annual%20Report%20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showGridLines="0" tabSelected="1" view="pageBreakPreview" topLeftCell="A32" zoomScale="60" zoomScaleNormal="85" workbookViewId="0">
      <selection activeCell="R31" sqref="R31"/>
    </sheetView>
  </sheetViews>
  <sheetFormatPr defaultRowHeight="15"/>
  <cols>
    <col min="1" max="1" width="36.28515625" style="1" bestFit="1" customWidth="1"/>
    <col min="2" max="2" width="19" style="1" bestFit="1" customWidth="1"/>
    <col min="3" max="3" width="16" style="1" bestFit="1" customWidth="1"/>
    <col min="4" max="4" width="13.140625" style="1" customWidth="1"/>
    <col min="5" max="5" width="7" style="1" bestFit="1" customWidth="1"/>
    <col min="6" max="6" width="11.42578125" style="1" bestFit="1" customWidth="1"/>
    <col min="7" max="7" width="10" style="1" bestFit="1" customWidth="1"/>
    <col min="8" max="8" width="8" style="1" bestFit="1" customWidth="1"/>
    <col min="9" max="9" width="15.85546875" style="1" bestFit="1" customWidth="1"/>
    <col min="10" max="10" width="12" style="1" bestFit="1" customWidth="1"/>
    <col min="11" max="16384" width="9.140625" style="1"/>
  </cols>
  <sheetData>
    <row r="1" spans="1:8">
      <c r="A1" s="67" t="s">
        <v>404</v>
      </c>
    </row>
    <row r="2" spans="1:8">
      <c r="A2" s="67" t="s">
        <v>440</v>
      </c>
    </row>
    <row r="4" spans="1:8">
      <c r="A4" s="259" t="s">
        <v>186</v>
      </c>
      <c r="B4" s="259"/>
      <c r="C4" s="259"/>
      <c r="D4" s="259"/>
      <c r="E4" s="259"/>
      <c r="F4" s="259"/>
      <c r="G4" s="259"/>
      <c r="H4" s="259"/>
    </row>
    <row r="5" spans="1:8">
      <c r="A5" s="1" t="s">
        <v>187</v>
      </c>
      <c r="B5" s="2" t="s">
        <v>188</v>
      </c>
      <c r="C5" s="2" t="s">
        <v>189</v>
      </c>
      <c r="D5" s="2" t="s">
        <v>190</v>
      </c>
      <c r="E5" s="3" t="s">
        <v>191</v>
      </c>
      <c r="F5" s="3" t="s">
        <v>192</v>
      </c>
      <c r="G5" s="3" t="s">
        <v>193</v>
      </c>
      <c r="H5" s="2" t="s">
        <v>194</v>
      </c>
    </row>
    <row r="6" spans="1:8">
      <c r="A6" s="1" t="s">
        <v>195</v>
      </c>
      <c r="B6" s="4">
        <f>52*5/12</f>
        <v>21.666666666666668</v>
      </c>
      <c r="C6" s="5">
        <f>$B$6*2</f>
        <v>43.333333333333336</v>
      </c>
      <c r="D6" s="5">
        <f>$B$6*3</f>
        <v>65</v>
      </c>
      <c r="E6" s="5">
        <f>$B$6*4</f>
        <v>86.666666666666671</v>
      </c>
      <c r="F6" s="5">
        <f>$B$6*5</f>
        <v>108.33333333333334</v>
      </c>
      <c r="G6" s="5">
        <f>$B$6*6</f>
        <v>130</v>
      </c>
      <c r="H6" s="5">
        <f>$B$6*7</f>
        <v>151.66666666666669</v>
      </c>
    </row>
    <row r="7" spans="1:8">
      <c r="A7" s="1" t="s">
        <v>196</v>
      </c>
      <c r="B7" s="4">
        <f>52*4/12</f>
        <v>17.333333333333332</v>
      </c>
      <c r="C7" s="5">
        <f>$B$7*2</f>
        <v>34.666666666666664</v>
      </c>
      <c r="D7" s="5">
        <f>$B$7*3</f>
        <v>52</v>
      </c>
      <c r="E7" s="5">
        <f>$B$7*4</f>
        <v>69.333333333333329</v>
      </c>
      <c r="F7" s="5">
        <f>$B$7*5</f>
        <v>86.666666666666657</v>
      </c>
      <c r="G7" s="5">
        <f>$B$7*6</f>
        <v>104</v>
      </c>
      <c r="H7" s="5">
        <f>$B$7*7</f>
        <v>121.33333333333333</v>
      </c>
    </row>
    <row r="8" spans="1:8">
      <c r="A8" s="1" t="s">
        <v>197</v>
      </c>
      <c r="B8" s="4">
        <f>52*3/12</f>
        <v>13</v>
      </c>
      <c r="C8" s="5">
        <f>$B$8*2</f>
        <v>26</v>
      </c>
      <c r="D8" s="5">
        <f>$B$8*3</f>
        <v>39</v>
      </c>
      <c r="E8" s="5">
        <f>$B$8*4</f>
        <v>52</v>
      </c>
      <c r="F8" s="5">
        <f>$B$8*5</f>
        <v>65</v>
      </c>
      <c r="G8" s="5">
        <f>$B$8*6</f>
        <v>78</v>
      </c>
      <c r="H8" s="5">
        <f>$B$8*7</f>
        <v>91</v>
      </c>
    </row>
    <row r="9" spans="1:8">
      <c r="A9" s="1" t="s">
        <v>198</v>
      </c>
      <c r="B9" s="4">
        <f>52*2/12</f>
        <v>8.6666666666666661</v>
      </c>
      <c r="C9" s="6">
        <f>$B$9*2</f>
        <v>17.333333333333332</v>
      </c>
      <c r="D9" s="6">
        <f>$B$9*3</f>
        <v>26</v>
      </c>
      <c r="E9" s="6">
        <f>$B$9*4</f>
        <v>34.666666666666664</v>
      </c>
      <c r="F9" s="6">
        <f>$B$9*5</f>
        <v>43.333333333333329</v>
      </c>
      <c r="G9" s="6">
        <f>$B$9*6</f>
        <v>52</v>
      </c>
      <c r="H9" s="6">
        <f>$B$9*7</f>
        <v>60.666666666666664</v>
      </c>
    </row>
    <row r="10" spans="1:8">
      <c r="A10" s="1" t="s">
        <v>199</v>
      </c>
      <c r="B10" s="4">
        <f>52/12</f>
        <v>4.333333333333333</v>
      </c>
      <c r="C10" s="6">
        <f>$B$10*2</f>
        <v>8.6666666666666661</v>
      </c>
      <c r="D10" s="6">
        <f>$B$10*3</f>
        <v>13</v>
      </c>
      <c r="E10" s="6">
        <f>$B$10*4</f>
        <v>17.333333333333332</v>
      </c>
      <c r="F10" s="6">
        <f>$B$10*5</f>
        <v>21.666666666666664</v>
      </c>
      <c r="G10" s="6">
        <f>$B$10*6</f>
        <v>26</v>
      </c>
      <c r="H10" s="6">
        <f>$B$10*7</f>
        <v>30.333333333333332</v>
      </c>
    </row>
    <row r="11" spans="1:8">
      <c r="A11" s="1" t="s">
        <v>200</v>
      </c>
      <c r="B11" s="4">
        <f>26/12</f>
        <v>2.1666666666666665</v>
      </c>
      <c r="C11" s="6">
        <f>$B$11*2</f>
        <v>4.333333333333333</v>
      </c>
      <c r="D11" s="6">
        <f>$B$11*3</f>
        <v>6.5</v>
      </c>
      <c r="E11" s="6">
        <f>$B$11*4</f>
        <v>8.6666666666666661</v>
      </c>
      <c r="F11" s="6">
        <f>$B$11*5</f>
        <v>10.833333333333332</v>
      </c>
      <c r="G11" s="6">
        <f>$B$11*6</f>
        <v>13</v>
      </c>
      <c r="H11" s="6">
        <f>$B$11*7</f>
        <v>15.166666666666666</v>
      </c>
    </row>
    <row r="12" spans="1:8">
      <c r="A12" s="1" t="s">
        <v>201</v>
      </c>
      <c r="B12" s="4">
        <f>12/12</f>
        <v>1</v>
      </c>
      <c r="C12" s="6">
        <f>$B$12*2</f>
        <v>2</v>
      </c>
      <c r="D12" s="6">
        <f>$B$12*3</f>
        <v>3</v>
      </c>
      <c r="E12" s="6">
        <f>$B$12*4</f>
        <v>4</v>
      </c>
      <c r="F12" s="6">
        <f>$B$12*5</f>
        <v>5</v>
      </c>
      <c r="G12" s="6">
        <f>$B$12*6</f>
        <v>6</v>
      </c>
      <c r="H12" s="6">
        <f>$B$12*7</f>
        <v>7</v>
      </c>
    </row>
    <row r="13" spans="1:8">
      <c r="B13" s="4"/>
      <c r="C13" s="6"/>
      <c r="D13" s="6"/>
      <c r="E13" s="6"/>
      <c r="F13" s="6"/>
      <c r="G13" s="6"/>
      <c r="H13" s="6"/>
    </row>
    <row r="14" spans="1:8">
      <c r="A14" s="259" t="s">
        <v>202</v>
      </c>
      <c r="B14" s="259"/>
      <c r="C14" s="6"/>
      <c r="D14" s="6"/>
      <c r="E14" s="6"/>
      <c r="F14" s="6"/>
      <c r="G14" s="6"/>
      <c r="H14" s="6"/>
    </row>
    <row r="15" spans="1:8">
      <c r="A15" s="7" t="s">
        <v>203</v>
      </c>
      <c r="B15" s="8" t="s">
        <v>204</v>
      </c>
      <c r="C15" s="6"/>
      <c r="D15" s="6"/>
      <c r="E15" s="6"/>
      <c r="F15" s="6"/>
      <c r="G15" s="6"/>
      <c r="H15" s="6"/>
    </row>
    <row r="16" spans="1:8">
      <c r="A16" s="9" t="s">
        <v>205</v>
      </c>
      <c r="B16" s="10">
        <v>20</v>
      </c>
      <c r="C16" s="6"/>
      <c r="D16" s="6"/>
      <c r="E16" s="6"/>
      <c r="F16" s="6"/>
      <c r="G16" s="6"/>
      <c r="H16" s="6"/>
    </row>
    <row r="17" spans="1:8">
      <c r="A17" s="9" t="s">
        <v>206</v>
      </c>
      <c r="B17" s="10">
        <v>34</v>
      </c>
      <c r="C17" s="6"/>
      <c r="D17" s="6"/>
      <c r="E17" s="6"/>
      <c r="F17" s="6"/>
      <c r="G17" s="6"/>
      <c r="H17" s="6"/>
    </row>
    <row r="18" spans="1:8">
      <c r="A18" s="9" t="s">
        <v>207</v>
      </c>
      <c r="B18" s="10">
        <v>51</v>
      </c>
      <c r="C18" s="6"/>
      <c r="D18" s="6"/>
      <c r="E18" s="6"/>
      <c r="F18" s="6"/>
      <c r="G18" s="6"/>
      <c r="H18" s="6"/>
    </row>
    <row r="19" spans="1:8">
      <c r="A19" s="9" t="s">
        <v>208</v>
      </c>
      <c r="B19" s="10">
        <v>77</v>
      </c>
      <c r="C19" s="6"/>
      <c r="D19" s="6"/>
      <c r="E19" s="6"/>
      <c r="F19" s="1" t="s">
        <v>209</v>
      </c>
      <c r="G19" s="10">
        <v>2000</v>
      </c>
      <c r="H19" s="6"/>
    </row>
    <row r="20" spans="1:8">
      <c r="A20" s="9" t="s">
        <v>210</v>
      </c>
      <c r="B20" s="10">
        <v>97</v>
      </c>
      <c r="C20" s="6"/>
      <c r="D20" s="6"/>
      <c r="E20" s="6"/>
      <c r="F20" s="1" t="s">
        <v>211</v>
      </c>
      <c r="G20" s="11" t="s">
        <v>212</v>
      </c>
      <c r="H20" s="6"/>
    </row>
    <row r="21" spans="1:8">
      <c r="A21" s="9" t="s">
        <v>213</v>
      </c>
      <c r="B21" s="10">
        <v>117</v>
      </c>
      <c r="C21" s="6"/>
      <c r="D21" s="6"/>
      <c r="E21" s="6"/>
      <c r="H21" s="6"/>
    </row>
    <row r="22" spans="1:8">
      <c r="A22" s="9" t="s">
        <v>214</v>
      </c>
      <c r="B22" s="10">
        <v>157</v>
      </c>
      <c r="C22" s="6"/>
      <c r="D22" s="6"/>
      <c r="E22" s="6"/>
      <c r="F22" s="12"/>
      <c r="G22" s="13"/>
      <c r="H22" s="6"/>
    </row>
    <row r="23" spans="1:8">
      <c r="A23" s="9" t="s">
        <v>215</v>
      </c>
      <c r="B23" s="10">
        <v>47</v>
      </c>
      <c r="C23" s="6"/>
      <c r="D23" s="6" t="s">
        <v>324</v>
      </c>
      <c r="E23" s="6"/>
      <c r="F23" s="6" t="s">
        <v>325</v>
      </c>
      <c r="G23" s="6"/>
      <c r="H23" s="6"/>
    </row>
    <row r="24" spans="1:8">
      <c r="A24" s="9" t="s">
        <v>216</v>
      </c>
      <c r="B24" s="10">
        <v>68</v>
      </c>
      <c r="C24" s="6"/>
      <c r="D24" s="38">
        <v>2</v>
      </c>
      <c r="E24" s="6"/>
      <c r="F24" s="38">
        <v>2</v>
      </c>
      <c r="G24" s="6"/>
      <c r="H24" s="6"/>
    </row>
    <row r="25" spans="1:8">
      <c r="A25" s="9" t="s">
        <v>217</v>
      </c>
      <c r="B25" s="10">
        <v>34</v>
      </c>
      <c r="C25" s="6"/>
      <c r="D25" s="38">
        <v>3</v>
      </c>
      <c r="E25" s="6"/>
      <c r="F25" s="38">
        <v>3</v>
      </c>
      <c r="G25" s="6"/>
      <c r="H25" s="6"/>
    </row>
    <row r="26" spans="1:8">
      <c r="A26" s="9" t="s">
        <v>218</v>
      </c>
      <c r="B26" s="10">
        <v>34</v>
      </c>
      <c r="C26" s="6"/>
      <c r="D26" s="38">
        <v>4</v>
      </c>
      <c r="E26" s="6"/>
      <c r="F26" s="38">
        <v>4</v>
      </c>
      <c r="G26" s="6"/>
      <c r="H26" s="6"/>
    </row>
    <row r="27" spans="1:8">
      <c r="A27" s="7" t="s">
        <v>219</v>
      </c>
      <c r="B27" s="10"/>
      <c r="C27" s="6"/>
      <c r="D27" s="38">
        <v>5</v>
      </c>
      <c r="E27" s="6"/>
      <c r="F27" s="38">
        <v>5</v>
      </c>
      <c r="G27" s="6"/>
      <c r="H27" s="6"/>
    </row>
    <row r="28" spans="1:8">
      <c r="A28" s="9" t="s">
        <v>220</v>
      </c>
      <c r="B28" s="10">
        <v>29</v>
      </c>
      <c r="C28" s="6"/>
      <c r="D28" s="6"/>
      <c r="E28" s="6"/>
      <c r="F28" s="6"/>
      <c r="G28" s="6"/>
      <c r="H28" s="6"/>
    </row>
    <row r="29" spans="1:8">
      <c r="A29" s="9" t="s">
        <v>221</v>
      </c>
      <c r="B29" s="10">
        <v>175</v>
      </c>
      <c r="C29" s="6"/>
      <c r="D29" s="6"/>
      <c r="E29" s="6"/>
      <c r="F29" s="6"/>
      <c r="G29" s="6"/>
      <c r="H29" s="6"/>
    </row>
    <row r="30" spans="1:8">
      <c r="A30" s="9" t="s">
        <v>222</v>
      </c>
      <c r="B30" s="10">
        <v>250</v>
      </c>
      <c r="C30" s="6"/>
      <c r="D30" s="6"/>
      <c r="E30" s="6"/>
      <c r="F30" s="6"/>
      <c r="G30" s="6"/>
      <c r="H30" s="6"/>
    </row>
    <row r="31" spans="1:8">
      <c r="A31" s="9" t="s">
        <v>223</v>
      </c>
      <c r="B31" s="10">
        <v>375</v>
      </c>
      <c r="C31" s="6" t="s">
        <v>224</v>
      </c>
      <c r="D31" s="6"/>
      <c r="E31" s="6"/>
      <c r="F31" s="6"/>
      <c r="G31" s="6"/>
      <c r="H31" s="6"/>
    </row>
    <row r="32" spans="1:8">
      <c r="A32" s="9" t="s">
        <v>225</v>
      </c>
      <c r="B32" s="10">
        <v>324</v>
      </c>
      <c r="C32" s="6"/>
      <c r="D32" s="6"/>
      <c r="E32" s="6"/>
      <c r="F32" s="6"/>
      <c r="G32" s="6"/>
      <c r="H32" s="6"/>
    </row>
    <row r="33" spans="1:8">
      <c r="A33" s="9" t="s">
        <v>226</v>
      </c>
      <c r="B33" s="10">
        <v>473</v>
      </c>
      <c r="C33" s="6"/>
      <c r="D33" s="6"/>
      <c r="E33" s="6"/>
      <c r="F33" s="6"/>
      <c r="G33" s="6"/>
      <c r="H33" s="6"/>
    </row>
    <row r="34" spans="1:8">
      <c r="A34" s="9" t="s">
        <v>227</v>
      </c>
      <c r="B34" s="10">
        <v>710</v>
      </c>
      <c r="C34" s="6" t="s">
        <v>224</v>
      </c>
      <c r="D34" s="6"/>
      <c r="E34" s="6"/>
      <c r="F34" s="6"/>
      <c r="G34" s="6"/>
      <c r="H34" s="6"/>
    </row>
    <row r="35" spans="1:8">
      <c r="A35" s="9" t="s">
        <v>228</v>
      </c>
      <c r="B35" s="10">
        <v>613</v>
      </c>
      <c r="C35" s="6"/>
      <c r="D35" s="6"/>
      <c r="E35" s="6"/>
      <c r="F35" s="6"/>
      <c r="G35" s="6"/>
      <c r="H35" s="6"/>
    </row>
    <row r="36" spans="1:8">
      <c r="A36" s="9" t="s">
        <v>229</v>
      </c>
      <c r="B36" s="10">
        <v>920</v>
      </c>
      <c r="C36" s="6" t="s">
        <v>224</v>
      </c>
      <c r="D36" s="6"/>
      <c r="E36" s="6"/>
      <c r="F36" s="6"/>
      <c r="G36" s="6"/>
      <c r="H36" s="6"/>
    </row>
    <row r="37" spans="1:8">
      <c r="A37" s="9" t="s">
        <v>230</v>
      </c>
      <c r="B37" s="10">
        <v>840</v>
      </c>
      <c r="C37" s="6"/>
      <c r="D37" s="6"/>
      <c r="E37" s="6"/>
      <c r="F37" s="6"/>
      <c r="G37" s="6"/>
      <c r="H37" s="6"/>
    </row>
    <row r="38" spans="1:8">
      <c r="A38" s="9" t="s">
        <v>231</v>
      </c>
      <c r="B38" s="10">
        <v>1260</v>
      </c>
      <c r="C38" s="6" t="s">
        <v>224</v>
      </c>
      <c r="D38" s="6"/>
      <c r="E38" s="6"/>
      <c r="F38" s="6"/>
      <c r="G38" s="6"/>
      <c r="H38" s="6"/>
    </row>
    <row r="39" spans="1:8">
      <c r="A39" s="9" t="s">
        <v>232</v>
      </c>
      <c r="B39" s="10">
        <v>980</v>
      </c>
      <c r="C39" s="6"/>
      <c r="D39" s="6"/>
      <c r="E39" s="6"/>
      <c r="F39" s="6"/>
      <c r="G39" s="6"/>
      <c r="H39" s="6"/>
    </row>
    <row r="40" spans="1:8">
      <c r="A40" s="9" t="s">
        <v>233</v>
      </c>
      <c r="B40" s="10">
        <v>482</v>
      </c>
      <c r="C40" s="6" t="s">
        <v>224</v>
      </c>
      <c r="D40" s="6"/>
      <c r="E40" s="6"/>
      <c r="F40" s="6"/>
      <c r="G40" s="6"/>
      <c r="H40" s="6"/>
    </row>
    <row r="41" spans="1:8">
      <c r="A41" s="9" t="s">
        <v>234</v>
      </c>
      <c r="B41" s="10">
        <v>689</v>
      </c>
      <c r="C41" s="6" t="s">
        <v>224</v>
      </c>
      <c r="D41" s="6"/>
      <c r="E41" s="6"/>
      <c r="F41" s="6"/>
      <c r="G41" s="6"/>
      <c r="H41" s="6"/>
    </row>
    <row r="42" spans="1:8">
      <c r="A42" s="9" t="s">
        <v>235</v>
      </c>
      <c r="B42" s="10">
        <v>892</v>
      </c>
      <c r="C42" s="6" t="s">
        <v>224</v>
      </c>
      <c r="D42" s="6"/>
      <c r="E42" s="6"/>
      <c r="F42" s="6"/>
      <c r="G42" s="6"/>
      <c r="H42" s="6"/>
    </row>
    <row r="43" spans="1:8">
      <c r="A43" s="9" t="s">
        <v>236</v>
      </c>
      <c r="B43" s="10">
        <v>1301</v>
      </c>
      <c r="C43" s="6"/>
      <c r="D43" s="6"/>
      <c r="E43" s="6"/>
      <c r="F43" s="6"/>
      <c r="G43" s="6"/>
      <c r="H43" s="6"/>
    </row>
    <row r="44" spans="1:8">
      <c r="A44" s="9" t="s">
        <v>237</v>
      </c>
      <c r="B44" s="10">
        <v>1686</v>
      </c>
      <c r="C44" s="6"/>
      <c r="D44" s="6"/>
      <c r="E44" s="6"/>
      <c r="F44" s="6"/>
      <c r="G44" s="6"/>
      <c r="H44" s="6"/>
    </row>
    <row r="45" spans="1:8">
      <c r="A45" s="9" t="s">
        <v>238</v>
      </c>
      <c r="B45" s="10">
        <v>2046</v>
      </c>
      <c r="C45" s="6"/>
      <c r="D45" s="6"/>
      <c r="E45" s="6"/>
      <c r="F45" s="6"/>
      <c r="G45" s="6"/>
      <c r="H45" s="6"/>
    </row>
    <row r="46" spans="1:8">
      <c r="A46" s="9" t="s">
        <v>239</v>
      </c>
      <c r="B46" s="10">
        <v>2310</v>
      </c>
      <c r="C46" s="6"/>
      <c r="D46" s="6"/>
      <c r="E46" s="6"/>
      <c r="F46" s="6"/>
      <c r="G46" s="6"/>
      <c r="H46" s="6"/>
    </row>
    <row r="47" spans="1:8">
      <c r="A47" s="9" t="s">
        <v>240</v>
      </c>
      <c r="B47" s="10">
        <v>2800</v>
      </c>
      <c r="C47" s="6" t="s">
        <v>224</v>
      </c>
      <c r="D47" s="6"/>
      <c r="E47" s="6"/>
      <c r="F47" s="6"/>
      <c r="G47" s="6"/>
      <c r="H47" s="6"/>
    </row>
    <row r="48" spans="1:8">
      <c r="A48" s="9" t="s">
        <v>241</v>
      </c>
      <c r="B48" s="10">
        <v>125</v>
      </c>
      <c r="C48" s="6"/>
      <c r="D48" s="6"/>
      <c r="E48" s="6"/>
      <c r="F48" s="6"/>
      <c r="G48" s="6"/>
      <c r="H48" s="6"/>
    </row>
    <row r="49" spans="1:12">
      <c r="B49" s="260" t="s">
        <v>242</v>
      </c>
      <c r="C49" s="260"/>
    </row>
    <row r="50" spans="1:12">
      <c r="A50" s="9" t="s">
        <v>264</v>
      </c>
      <c r="B50" s="22">
        <v>12</v>
      </c>
    </row>
    <row r="52" spans="1:12">
      <c r="A52" s="66" t="s">
        <v>265</v>
      </c>
      <c r="B52" s="14" t="s">
        <v>243</v>
      </c>
      <c r="C52" s="14" t="s">
        <v>244</v>
      </c>
      <c r="F52" s="261" t="s">
        <v>245</v>
      </c>
      <c r="G52" s="261"/>
    </row>
    <row r="53" spans="1:12">
      <c r="A53" s="54" t="s">
        <v>246</v>
      </c>
      <c r="B53" s="170">
        <v>106</v>
      </c>
      <c r="C53" s="171">
        <f>B53/2000</f>
        <v>5.2999999999999999E-2</v>
      </c>
      <c r="F53" s="1" t="s">
        <v>247</v>
      </c>
      <c r="G53" s="16">
        <f>0.015</f>
        <v>1.4999999999999999E-2</v>
      </c>
      <c r="I53" s="24"/>
      <c r="J53" s="27"/>
      <c r="K53" s="25"/>
      <c r="L53" s="25"/>
    </row>
    <row r="54" spans="1:12">
      <c r="A54" s="54" t="s">
        <v>248</v>
      </c>
      <c r="B54" s="172">
        <v>110</v>
      </c>
      <c r="C54" s="173">
        <f>B54/2000</f>
        <v>5.5E-2</v>
      </c>
      <c r="F54" s="1" t="s">
        <v>249</v>
      </c>
      <c r="G54" s="17">
        <v>5.1000000000000004E-3</v>
      </c>
      <c r="I54" s="24"/>
      <c r="J54" s="27"/>
      <c r="K54" s="25"/>
      <c r="L54" s="25"/>
    </row>
    <row r="55" spans="1:12">
      <c r="A55" s="9" t="s">
        <v>250</v>
      </c>
      <c r="B55" s="170">
        <f>B54-B53</f>
        <v>4</v>
      </c>
      <c r="C55" s="174">
        <f>C54-C53</f>
        <v>2.0000000000000018E-3</v>
      </c>
      <c r="D55" s="60">
        <f>B55/B53</f>
        <v>3.7735849056603772E-2</v>
      </c>
      <c r="F55" s="1" t="s">
        <v>251</v>
      </c>
      <c r="G55" s="18"/>
      <c r="I55" s="24"/>
      <c r="J55" s="28"/>
      <c r="K55" s="25"/>
      <c r="L55" s="25"/>
    </row>
    <row r="56" spans="1:12">
      <c r="A56" s="23"/>
      <c r="B56" s="24"/>
      <c r="C56" s="27"/>
      <c r="F56" s="1" t="s">
        <v>0</v>
      </c>
      <c r="G56" s="19">
        <f>SUM(G53:G55)</f>
        <v>2.01E-2</v>
      </c>
      <c r="I56" s="24"/>
      <c r="J56" s="27"/>
      <c r="K56" s="25"/>
      <c r="L56" s="25"/>
    </row>
    <row r="57" spans="1:12">
      <c r="A57" s="68"/>
      <c r="B57" s="69" t="s">
        <v>396</v>
      </c>
      <c r="C57" s="27"/>
      <c r="I57" s="24"/>
      <c r="J57" s="27"/>
      <c r="K57" s="25"/>
      <c r="L57" s="25"/>
    </row>
    <row r="58" spans="1:12">
      <c r="A58" s="25" t="s">
        <v>266</v>
      </c>
      <c r="B58" s="24">
        <f>B55</f>
        <v>4</v>
      </c>
      <c r="C58" s="27"/>
      <c r="F58" s="1" t="s">
        <v>252</v>
      </c>
      <c r="G58" s="20">
        <f>1-G56</f>
        <v>0.97989999999999999</v>
      </c>
      <c r="I58" s="24"/>
      <c r="J58" s="27"/>
      <c r="K58" s="25"/>
      <c r="L58" s="25"/>
    </row>
    <row r="59" spans="1:12">
      <c r="A59" s="70" t="s">
        <v>405</v>
      </c>
      <c r="B59" s="24">
        <f>B58/G58</f>
        <v>4.0820491886927242</v>
      </c>
      <c r="C59" s="31"/>
      <c r="I59" s="24"/>
      <c r="J59" s="28"/>
      <c r="K59" s="25"/>
      <c r="L59" s="25"/>
    </row>
    <row r="60" spans="1:12">
      <c r="A60" s="71" t="s">
        <v>406</v>
      </c>
      <c r="B60" s="31">
        <f>'Disposal Schedule'!D22*'Disposal Schedule'!C28</f>
        <v>6064.5400623769829</v>
      </c>
      <c r="I60" s="25"/>
      <c r="J60" s="25"/>
      <c r="K60" s="25"/>
      <c r="L60" s="25"/>
    </row>
    <row r="61" spans="1:12">
      <c r="A61" s="74" t="s">
        <v>407</v>
      </c>
      <c r="B61" s="62">
        <f>B60*B59</f>
        <v>24755.750841420486</v>
      </c>
      <c r="C61" s="25"/>
      <c r="D61" s="25"/>
      <c r="E61" s="25"/>
      <c r="I61" s="25"/>
      <c r="J61" s="25"/>
      <c r="K61" s="25"/>
      <c r="L61" s="25"/>
    </row>
    <row r="62" spans="1:12" s="71" customFormat="1">
      <c r="B62" s="73"/>
      <c r="C62" s="72"/>
      <c r="D62" s="72"/>
      <c r="E62" s="72"/>
      <c r="I62" s="72"/>
      <c r="J62" s="72"/>
      <c r="K62" s="72"/>
      <c r="L62" s="72"/>
    </row>
    <row r="63" spans="1:12" s="71" customFormat="1">
      <c r="B63" s="73"/>
      <c r="C63" s="72"/>
      <c r="D63" s="72"/>
      <c r="E63" s="72"/>
      <c r="I63" s="72"/>
      <c r="J63" s="72"/>
      <c r="K63" s="72"/>
      <c r="L63" s="72"/>
    </row>
    <row r="64" spans="1:12" s="71" customFormat="1" ht="15.75" thickBot="1">
      <c r="B64" s="73"/>
      <c r="C64" s="72"/>
      <c r="D64" s="72"/>
      <c r="E64" s="72"/>
      <c r="I64" s="72"/>
      <c r="J64" s="72"/>
      <c r="K64" s="72"/>
      <c r="L64" s="72"/>
    </row>
    <row r="65" spans="1:12" s="71" customFormat="1">
      <c r="A65" s="156" t="s">
        <v>408</v>
      </c>
      <c r="B65" s="161" t="s">
        <v>409</v>
      </c>
      <c r="C65" s="72"/>
      <c r="D65" s="72"/>
      <c r="E65" s="72"/>
      <c r="I65" s="72"/>
      <c r="J65" s="72"/>
      <c r="K65" s="72"/>
      <c r="L65" s="72"/>
    </row>
    <row r="66" spans="1:12" s="71" customFormat="1">
      <c r="A66" s="157" t="s">
        <v>410</v>
      </c>
      <c r="B66" s="140">
        <f>'Whitman DF Calc'!R83</f>
        <v>24754.972977896214</v>
      </c>
      <c r="C66" s="72"/>
      <c r="D66" s="72"/>
      <c r="E66" s="72"/>
      <c r="I66" s="72"/>
      <c r="J66" s="72"/>
      <c r="K66" s="72"/>
      <c r="L66" s="72"/>
    </row>
    <row r="67" spans="1:12" s="71" customFormat="1">
      <c r="A67" s="157" t="s">
        <v>411</v>
      </c>
      <c r="B67" s="140">
        <f>B66-B61</f>
        <v>-0.77786352427210659</v>
      </c>
      <c r="C67" s="177"/>
      <c r="D67" s="72"/>
      <c r="E67" s="72"/>
      <c r="I67" s="72"/>
      <c r="J67" s="72"/>
      <c r="K67" s="72"/>
      <c r="L67" s="72"/>
    </row>
    <row r="68" spans="1:12" s="71" customFormat="1" ht="15.75" thickBot="1">
      <c r="A68" s="159"/>
      <c r="B68" s="160"/>
      <c r="C68" s="72"/>
      <c r="D68" s="72"/>
      <c r="E68" s="72"/>
      <c r="I68" s="72"/>
      <c r="J68" s="72"/>
      <c r="K68" s="72"/>
      <c r="L68" s="72"/>
    </row>
    <row r="69" spans="1:12">
      <c r="A69" s="25"/>
      <c r="B69" s="36"/>
      <c r="C69" s="22"/>
      <c r="D69" s="25"/>
      <c r="E69" s="25"/>
      <c r="I69" s="22"/>
      <c r="J69" s="22"/>
      <c r="K69" s="25"/>
      <c r="L69" s="25"/>
    </row>
    <row r="70" spans="1:12">
      <c r="A70" s="25"/>
      <c r="B70" s="22"/>
      <c r="C70" s="30"/>
      <c r="D70" s="29"/>
      <c r="E70" s="25"/>
      <c r="I70" s="30"/>
      <c r="J70" s="30"/>
      <c r="K70" s="29"/>
      <c r="L70" s="25"/>
    </row>
    <row r="71" spans="1:12">
      <c r="A71" s="23"/>
      <c r="B71" s="30"/>
      <c r="C71" s="29"/>
      <c r="D71" s="29"/>
      <c r="E71" s="25"/>
      <c r="I71" s="25"/>
      <c r="J71" s="25"/>
      <c r="K71" s="25"/>
      <c r="L71" s="25"/>
    </row>
    <row r="72" spans="1:12">
      <c r="A72" s="25"/>
      <c r="B72" s="25"/>
      <c r="C72" s="25"/>
      <c r="D72" s="25"/>
      <c r="E72" s="25"/>
    </row>
    <row r="73" spans="1:12">
      <c r="A73" s="25"/>
      <c r="B73" s="25"/>
      <c r="C73" s="25"/>
      <c r="D73" s="25"/>
      <c r="E73" s="25"/>
    </row>
    <row r="74" spans="1:12">
      <c r="A74" s="25"/>
      <c r="B74" s="25"/>
      <c r="C74" s="25"/>
      <c r="D74" s="25"/>
      <c r="E74" s="25"/>
    </row>
    <row r="75" spans="1:12">
      <c r="A75" s="23"/>
      <c r="B75" s="32"/>
      <c r="C75" s="25"/>
      <c r="D75" s="25"/>
      <c r="E75" s="25"/>
    </row>
    <row r="76" spans="1:12">
      <c r="A76" s="25"/>
      <c r="B76" s="24"/>
      <c r="C76" s="25"/>
      <c r="D76" s="25"/>
      <c r="E76" s="25"/>
    </row>
    <row r="77" spans="1:12">
      <c r="A77" s="25"/>
      <c r="B77" s="24"/>
      <c r="C77" s="25"/>
      <c r="D77" s="25"/>
      <c r="E77" s="25"/>
    </row>
    <row r="78" spans="1:12">
      <c r="A78" s="25"/>
      <c r="B78" s="25"/>
      <c r="C78" s="25"/>
      <c r="D78" s="25"/>
      <c r="E78" s="25"/>
    </row>
    <row r="79" spans="1:12">
      <c r="A79" s="23"/>
      <c r="B79" s="32"/>
      <c r="C79" s="25"/>
      <c r="D79" s="25"/>
      <c r="E79" s="25"/>
    </row>
    <row r="80" spans="1:12">
      <c r="A80" s="25"/>
      <c r="B80" s="24"/>
      <c r="C80" s="25"/>
      <c r="D80" s="25"/>
      <c r="E80" s="25"/>
    </row>
    <row r="81" spans="1:5">
      <c r="A81" s="26"/>
      <c r="B81" s="24"/>
      <c r="C81" s="25"/>
      <c r="D81" s="25"/>
      <c r="E81" s="25"/>
    </row>
    <row r="82" spans="1:5">
      <c r="A82" s="25"/>
      <c r="B82" s="25"/>
      <c r="C82" s="25"/>
      <c r="D82" s="25"/>
      <c r="E82" s="25"/>
    </row>
    <row r="83" spans="1:5">
      <c r="A83" s="25"/>
      <c r="B83" s="25"/>
      <c r="C83" s="25"/>
      <c r="D83" s="25"/>
      <c r="E83" s="25"/>
    </row>
    <row r="84" spans="1:5">
      <c r="A84" s="25"/>
      <c r="B84" s="25"/>
      <c r="C84" s="25"/>
      <c r="D84" s="25"/>
      <c r="E84" s="25"/>
    </row>
    <row r="85" spans="1:5">
      <c r="A85" s="25"/>
      <c r="B85" s="25"/>
      <c r="C85" s="25"/>
      <c r="D85" s="25"/>
      <c r="E85" s="25"/>
    </row>
    <row r="86" spans="1:5">
      <c r="A86" s="25"/>
      <c r="B86" s="25"/>
      <c r="C86" s="25"/>
      <c r="D86" s="25"/>
      <c r="E86" s="25"/>
    </row>
    <row r="87" spans="1:5">
      <c r="A87" s="25"/>
      <c r="B87" s="25"/>
      <c r="C87" s="25"/>
      <c r="D87" s="25"/>
      <c r="E87" s="25"/>
    </row>
    <row r="88" spans="1:5">
      <c r="A88" s="25"/>
      <c r="B88" s="25"/>
      <c r="C88" s="25"/>
      <c r="D88" s="25"/>
      <c r="E88" s="25"/>
    </row>
    <row r="89" spans="1:5">
      <c r="A89" s="25"/>
      <c r="B89" s="25"/>
      <c r="C89" s="25"/>
      <c r="D89" s="25"/>
      <c r="E89" s="25"/>
    </row>
    <row r="90" spans="1:5">
      <c r="A90" s="25"/>
      <c r="B90" s="25"/>
      <c r="C90" s="25"/>
      <c r="D90" s="25"/>
      <c r="E90" s="25"/>
    </row>
    <row r="91" spans="1:5">
      <c r="A91" s="25"/>
      <c r="B91" s="25"/>
      <c r="C91" s="25"/>
      <c r="D91" s="25"/>
      <c r="E91" s="25"/>
    </row>
    <row r="92" spans="1:5">
      <c r="A92" s="25"/>
      <c r="B92" s="25"/>
      <c r="C92" s="25"/>
      <c r="D92" s="25"/>
      <c r="E92" s="25"/>
    </row>
    <row r="93" spans="1:5">
      <c r="A93" s="25"/>
      <c r="B93" s="25"/>
      <c r="C93" s="25"/>
      <c r="D93" s="25"/>
      <c r="E93" s="25"/>
    </row>
    <row r="94" spans="1:5">
      <c r="A94" s="25"/>
      <c r="B94" s="25"/>
      <c r="C94" s="25"/>
      <c r="D94" s="25"/>
      <c r="E94" s="25"/>
    </row>
    <row r="95" spans="1:5">
      <c r="A95" s="25"/>
      <c r="B95" s="25"/>
      <c r="C95" s="25"/>
      <c r="D95" s="25"/>
      <c r="E95" s="25"/>
    </row>
    <row r="96" spans="1:5">
      <c r="A96" s="25"/>
      <c r="B96" s="25"/>
      <c r="C96" s="25"/>
      <c r="D96" s="25"/>
      <c r="E96" s="25"/>
    </row>
    <row r="97" spans="1:5">
      <c r="A97" s="25"/>
      <c r="B97" s="25"/>
      <c r="C97" s="25"/>
      <c r="D97" s="25"/>
      <c r="E97" s="25"/>
    </row>
    <row r="98" spans="1:5">
      <c r="A98" s="25"/>
      <c r="B98" s="25"/>
      <c r="C98" s="25"/>
      <c r="D98" s="25"/>
      <c r="E98" s="25"/>
    </row>
    <row r="99" spans="1:5">
      <c r="A99" s="25"/>
      <c r="B99" s="25"/>
      <c r="C99" s="25"/>
      <c r="D99" s="25"/>
      <c r="E99" s="25"/>
    </row>
    <row r="100" spans="1:5">
      <c r="A100" s="25"/>
      <c r="B100" s="25"/>
      <c r="C100" s="25"/>
      <c r="D100" s="25"/>
      <c r="E100" s="25"/>
    </row>
    <row r="101" spans="1:5">
      <c r="A101" s="25"/>
      <c r="B101" s="25"/>
      <c r="C101" s="25"/>
      <c r="D101" s="25"/>
      <c r="E101" s="25"/>
    </row>
    <row r="102" spans="1:5">
      <c r="A102" s="25"/>
      <c r="B102" s="25"/>
      <c r="C102" s="25"/>
      <c r="D102" s="25"/>
      <c r="E102" s="25"/>
    </row>
    <row r="103" spans="1:5">
      <c r="A103" s="25"/>
      <c r="B103" s="25"/>
      <c r="C103" s="25"/>
      <c r="D103" s="25"/>
      <c r="E103" s="25"/>
    </row>
    <row r="104" spans="1:5">
      <c r="A104" s="25"/>
      <c r="B104" s="25"/>
      <c r="C104" s="25"/>
      <c r="D104" s="25"/>
      <c r="E104" s="25"/>
    </row>
    <row r="105" spans="1:5">
      <c r="A105" s="25"/>
      <c r="B105" s="25"/>
      <c r="C105" s="25"/>
      <c r="D105" s="25"/>
      <c r="E105" s="25"/>
    </row>
    <row r="106" spans="1:5">
      <c r="A106" s="25"/>
      <c r="B106" s="25"/>
      <c r="C106" s="25"/>
      <c r="D106" s="25"/>
      <c r="E106" s="25"/>
    </row>
    <row r="107" spans="1:5">
      <c r="A107" s="25"/>
      <c r="B107" s="25"/>
      <c r="C107" s="25"/>
      <c r="D107" s="25"/>
      <c r="E107" s="25"/>
    </row>
    <row r="108" spans="1:5">
      <c r="A108" s="25"/>
      <c r="B108" s="25"/>
      <c r="C108" s="25"/>
      <c r="D108" s="25"/>
      <c r="E108" s="25"/>
    </row>
    <row r="109" spans="1:5">
      <c r="A109" s="25"/>
      <c r="B109" s="25"/>
      <c r="C109" s="25"/>
      <c r="D109" s="25"/>
      <c r="E109" s="25"/>
    </row>
    <row r="110" spans="1:5">
      <c r="A110" s="25"/>
      <c r="B110" s="25"/>
      <c r="C110" s="25"/>
      <c r="D110" s="25"/>
      <c r="E110" s="25"/>
    </row>
    <row r="111" spans="1:5">
      <c r="A111" s="25"/>
      <c r="B111" s="25"/>
      <c r="C111" s="25"/>
      <c r="D111" s="25"/>
      <c r="E111" s="25"/>
    </row>
    <row r="112" spans="1:5">
      <c r="A112" s="25"/>
      <c r="B112" s="25"/>
      <c r="C112" s="25"/>
      <c r="D112" s="25"/>
      <c r="E112" s="25"/>
    </row>
    <row r="113" spans="1:5">
      <c r="A113" s="25"/>
      <c r="B113" s="25"/>
      <c r="C113" s="25"/>
      <c r="D113" s="25"/>
      <c r="E113" s="25"/>
    </row>
    <row r="114" spans="1:5">
      <c r="A114" s="25"/>
      <c r="B114" s="25"/>
      <c r="C114" s="25"/>
      <c r="D114" s="25"/>
      <c r="E114" s="25"/>
    </row>
    <row r="115" spans="1:5">
      <c r="A115" s="25"/>
      <c r="B115" s="25"/>
      <c r="C115" s="25"/>
      <c r="D115" s="25"/>
      <c r="E115" s="25"/>
    </row>
    <row r="116" spans="1:5">
      <c r="A116" s="25"/>
      <c r="B116" s="25"/>
      <c r="C116" s="25"/>
      <c r="D116" s="25"/>
      <c r="E116" s="25"/>
    </row>
    <row r="117" spans="1:5">
      <c r="A117" s="25"/>
      <c r="B117" s="25"/>
      <c r="C117" s="25"/>
      <c r="D117" s="25"/>
      <c r="E117" s="25"/>
    </row>
    <row r="118" spans="1:5">
      <c r="A118" s="25"/>
      <c r="B118" s="25"/>
      <c r="C118" s="25"/>
      <c r="D118" s="25"/>
      <c r="E118" s="25"/>
    </row>
    <row r="119" spans="1:5">
      <c r="A119" s="25"/>
      <c r="B119" s="25"/>
      <c r="C119" s="25"/>
      <c r="D119" s="25"/>
      <c r="E119" s="25"/>
    </row>
    <row r="120" spans="1:5">
      <c r="A120" s="25"/>
      <c r="B120" s="25"/>
      <c r="C120" s="25"/>
      <c r="D120" s="25"/>
      <c r="E120" s="25"/>
    </row>
    <row r="121" spans="1:5">
      <c r="A121" s="25"/>
      <c r="B121" s="25"/>
      <c r="C121" s="25"/>
      <c r="D121" s="25"/>
      <c r="E121" s="25"/>
    </row>
    <row r="122" spans="1:5">
      <c r="A122" s="25"/>
      <c r="B122" s="25"/>
      <c r="C122" s="25"/>
      <c r="D122" s="25"/>
      <c r="E122" s="25"/>
    </row>
    <row r="123" spans="1:5">
      <c r="A123" s="25"/>
      <c r="B123" s="25"/>
      <c r="C123" s="25"/>
      <c r="D123" s="25"/>
      <c r="E123" s="25"/>
    </row>
    <row r="124" spans="1:5">
      <c r="A124" s="25"/>
      <c r="B124" s="25"/>
      <c r="C124" s="25"/>
      <c r="D124" s="25"/>
      <c r="E124" s="25"/>
    </row>
    <row r="125" spans="1:5">
      <c r="A125" s="25"/>
      <c r="B125" s="25"/>
      <c r="C125" s="25"/>
      <c r="D125" s="25"/>
      <c r="E125" s="25"/>
    </row>
    <row r="126" spans="1:5">
      <c r="A126" s="25"/>
      <c r="B126" s="25"/>
      <c r="C126" s="25"/>
      <c r="D126" s="25"/>
      <c r="E126" s="25"/>
    </row>
    <row r="127" spans="1:5">
      <c r="A127" s="25"/>
      <c r="B127" s="25"/>
      <c r="C127" s="25"/>
      <c r="D127" s="25"/>
      <c r="E127" s="25"/>
    </row>
    <row r="128" spans="1:5">
      <c r="A128" s="25"/>
      <c r="B128" s="25"/>
      <c r="C128" s="25"/>
      <c r="D128" s="25"/>
      <c r="E128" s="25"/>
    </row>
    <row r="129" spans="1:5">
      <c r="A129" s="25"/>
      <c r="B129" s="25"/>
      <c r="C129" s="25"/>
      <c r="D129" s="25"/>
      <c r="E129" s="25"/>
    </row>
    <row r="130" spans="1:5">
      <c r="A130" s="25"/>
      <c r="B130" s="25"/>
      <c r="C130" s="25"/>
      <c r="D130" s="25"/>
      <c r="E130" s="25"/>
    </row>
    <row r="131" spans="1:5">
      <c r="A131" s="25"/>
      <c r="B131" s="25"/>
      <c r="C131" s="25"/>
      <c r="D131" s="25"/>
      <c r="E131" s="25"/>
    </row>
    <row r="132" spans="1:5">
      <c r="A132" s="25"/>
      <c r="B132" s="25"/>
      <c r="C132" s="25"/>
      <c r="D132" s="25"/>
      <c r="E132" s="25"/>
    </row>
    <row r="133" spans="1:5">
      <c r="A133" s="25"/>
      <c r="B133" s="25"/>
      <c r="C133" s="25"/>
      <c r="D133" s="25"/>
      <c r="E133" s="25"/>
    </row>
    <row r="134" spans="1:5">
      <c r="A134" s="25"/>
      <c r="B134" s="25"/>
      <c r="C134" s="25"/>
      <c r="D134" s="25"/>
      <c r="E134" s="25"/>
    </row>
    <row r="135" spans="1:5">
      <c r="A135" s="25"/>
      <c r="B135" s="25"/>
      <c r="C135" s="25"/>
      <c r="D135" s="25"/>
      <c r="E135" s="25"/>
    </row>
    <row r="136" spans="1:5">
      <c r="A136" s="25"/>
      <c r="B136" s="25"/>
      <c r="C136" s="25"/>
      <c r="D136" s="25"/>
      <c r="E136" s="25"/>
    </row>
    <row r="137" spans="1:5">
      <c r="A137" s="25"/>
      <c r="B137" s="25"/>
      <c r="C137" s="25"/>
      <c r="D137" s="25"/>
      <c r="E137" s="25"/>
    </row>
    <row r="138" spans="1:5">
      <c r="A138" s="25"/>
      <c r="B138" s="25"/>
      <c r="C138" s="25"/>
      <c r="D138" s="25"/>
      <c r="E138" s="25"/>
    </row>
    <row r="139" spans="1:5">
      <c r="A139" s="25"/>
      <c r="B139" s="25"/>
      <c r="C139" s="25"/>
      <c r="D139" s="25"/>
      <c r="E139" s="25"/>
    </row>
    <row r="140" spans="1:5">
      <c r="A140" s="25"/>
      <c r="B140" s="25"/>
      <c r="C140" s="25"/>
      <c r="D140" s="25"/>
      <c r="E140" s="25"/>
    </row>
    <row r="141" spans="1:5">
      <c r="A141" s="25"/>
      <c r="B141" s="25"/>
      <c r="C141" s="25"/>
      <c r="D141" s="25"/>
      <c r="E141" s="25"/>
    </row>
    <row r="142" spans="1:5">
      <c r="A142" s="25"/>
      <c r="B142" s="25"/>
      <c r="C142" s="25"/>
      <c r="D142" s="25"/>
      <c r="E142" s="25"/>
    </row>
    <row r="143" spans="1:5">
      <c r="A143" s="25"/>
      <c r="B143" s="25"/>
      <c r="C143" s="25"/>
      <c r="D143" s="25"/>
      <c r="E143" s="25"/>
    </row>
    <row r="144" spans="1:5">
      <c r="A144" s="25"/>
      <c r="B144" s="25"/>
      <c r="C144" s="25"/>
      <c r="D144" s="25"/>
      <c r="E144" s="25"/>
    </row>
    <row r="145" spans="1:5">
      <c r="A145" s="25"/>
      <c r="B145" s="25"/>
      <c r="C145" s="25"/>
      <c r="D145" s="25"/>
      <c r="E145" s="25"/>
    </row>
    <row r="146" spans="1:5">
      <c r="A146" s="25"/>
      <c r="B146" s="25"/>
      <c r="C146" s="25"/>
      <c r="D146" s="25"/>
      <c r="E146" s="25"/>
    </row>
    <row r="147" spans="1:5">
      <c r="A147" s="25"/>
      <c r="B147" s="25"/>
      <c r="C147" s="25"/>
      <c r="D147" s="25"/>
      <c r="E147" s="25"/>
    </row>
    <row r="148" spans="1:5">
      <c r="A148" s="25"/>
      <c r="B148" s="25"/>
    </row>
  </sheetData>
  <mergeCells count="4">
    <mergeCell ref="A4:H4"/>
    <mergeCell ref="A14:B14"/>
    <mergeCell ref="B49:C49"/>
    <mergeCell ref="F52:G52"/>
  </mergeCells>
  <printOptions horizontalCentered="1" verticalCentered="1"/>
  <pageMargins left="0.7" right="0.7" top="0.75" bottom="0.75" header="0.3" footer="0.3"/>
  <pageSetup scale="69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02"/>
  <sheetViews>
    <sheetView showGridLines="0" tabSelected="1" view="pageBreakPreview" topLeftCell="A67" zoomScale="60" zoomScaleNormal="85" workbookViewId="0">
      <selection activeCell="R31" sqref="R31"/>
    </sheetView>
  </sheetViews>
  <sheetFormatPr defaultRowHeight="15"/>
  <cols>
    <col min="1" max="1" width="4.140625" style="1" customWidth="1"/>
    <col min="2" max="2" width="8.140625" style="58" customWidth="1"/>
    <col min="3" max="3" width="26.140625" style="1" customWidth="1"/>
    <col min="4" max="4" width="12.42578125" style="81" customWidth="1"/>
    <col min="5" max="5" width="13" style="90" customWidth="1"/>
    <col min="6" max="6" width="13" style="81" customWidth="1"/>
    <col min="7" max="7" width="9.42578125" style="81" customWidth="1"/>
    <col min="8" max="8" width="14.140625" style="81" customWidth="1"/>
    <col min="9" max="9" width="13" style="81" customWidth="1"/>
    <col min="10" max="15" width="12.85546875" style="98" customWidth="1"/>
    <col min="16" max="19" width="14" style="98" customWidth="1"/>
    <col min="20" max="21" width="12.85546875" style="98" customWidth="1"/>
    <col min="22" max="23" width="14" style="98" customWidth="1"/>
    <col min="24" max="24" width="12.140625" style="1" bestFit="1" customWidth="1"/>
    <col min="25" max="25" width="11.7109375" style="1" customWidth="1"/>
    <col min="26" max="26" width="9.140625" style="1"/>
    <col min="32" max="16384" width="9.140625" style="1"/>
  </cols>
  <sheetData>
    <row r="1" spans="1:31" s="75" customFormat="1">
      <c r="A1" s="78" t="s">
        <v>404</v>
      </c>
      <c r="B1" s="58"/>
      <c r="D1" s="81"/>
      <c r="E1" s="90"/>
      <c r="F1" s="81"/>
      <c r="G1" s="81"/>
      <c r="H1" s="81"/>
      <c r="I1" s="81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AA1"/>
      <c r="AB1"/>
      <c r="AC1"/>
      <c r="AD1"/>
      <c r="AE1"/>
    </row>
    <row r="2" spans="1:31" s="75" customFormat="1">
      <c r="A2" s="76" t="s">
        <v>412</v>
      </c>
      <c r="B2" s="58"/>
      <c r="D2" s="81"/>
      <c r="E2" s="90"/>
      <c r="F2" s="81"/>
      <c r="G2" s="81"/>
      <c r="H2" s="81"/>
      <c r="I2" s="81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AA2"/>
      <c r="AB2"/>
      <c r="AC2"/>
      <c r="AD2"/>
      <c r="AE2"/>
    </row>
    <row r="3" spans="1:31" s="75" customFormat="1">
      <c r="A3" s="76" t="s">
        <v>488</v>
      </c>
      <c r="B3" s="58"/>
      <c r="D3" s="81"/>
      <c r="E3" s="90"/>
      <c r="F3" s="81"/>
      <c r="G3" s="81"/>
      <c r="H3" s="81"/>
      <c r="I3" s="81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AA3"/>
      <c r="AB3"/>
      <c r="AC3"/>
      <c r="AD3"/>
      <c r="AE3"/>
    </row>
    <row r="4" spans="1:31" s="75" customFormat="1">
      <c r="A4" s="145" t="s">
        <v>486</v>
      </c>
      <c r="B4" s="58"/>
      <c r="D4" s="81"/>
      <c r="E4" s="90"/>
      <c r="F4" s="81"/>
      <c r="G4" s="81"/>
      <c r="H4" s="81"/>
      <c r="I4" s="81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AA4"/>
      <c r="AB4"/>
      <c r="AC4"/>
      <c r="AD4"/>
      <c r="AE4"/>
    </row>
    <row r="5" spans="1:31" ht="45" customHeight="1">
      <c r="A5" s="77"/>
      <c r="B5" s="77" t="s">
        <v>413</v>
      </c>
      <c r="C5" s="77" t="s">
        <v>414</v>
      </c>
      <c r="D5" s="77" t="s">
        <v>255</v>
      </c>
      <c r="E5" s="77" t="s">
        <v>256</v>
      </c>
      <c r="F5" s="77" t="s">
        <v>257</v>
      </c>
      <c r="G5" s="77" t="s">
        <v>202</v>
      </c>
      <c r="H5" s="77" t="s">
        <v>258</v>
      </c>
      <c r="I5" s="77" t="s">
        <v>259</v>
      </c>
      <c r="J5" s="77" t="s">
        <v>250</v>
      </c>
      <c r="K5" s="77" t="s">
        <v>260</v>
      </c>
      <c r="L5" s="77" t="s">
        <v>415</v>
      </c>
      <c r="M5" s="77" t="s">
        <v>261</v>
      </c>
      <c r="N5" s="77" t="s">
        <v>416</v>
      </c>
      <c r="O5" s="77" t="s">
        <v>262</v>
      </c>
      <c r="P5" s="77" t="s">
        <v>263</v>
      </c>
      <c r="Q5" s="77" t="s">
        <v>326</v>
      </c>
      <c r="R5" s="77" t="s">
        <v>417</v>
      </c>
      <c r="S5" s="77" t="s">
        <v>418</v>
      </c>
      <c r="T5" s="77" t="s">
        <v>422</v>
      </c>
      <c r="U5" s="77" t="s">
        <v>419</v>
      </c>
      <c r="V5" s="77" t="s">
        <v>420</v>
      </c>
      <c r="W5" s="77" t="s">
        <v>421</v>
      </c>
    </row>
    <row r="6" spans="1:31" ht="15" customHeight="1">
      <c r="A6" s="265" t="s">
        <v>253</v>
      </c>
      <c r="B6" s="134">
        <v>26</v>
      </c>
      <c r="C6" s="1" t="s">
        <v>9</v>
      </c>
      <c r="D6" s="81">
        <f>+VLOOKUP(C6,'Whitman Reg - Price Out'!B:G,6,FALSE)</f>
        <v>21.564733707077789</v>
      </c>
      <c r="E6" s="90">
        <f>+References!B10</f>
        <v>4.333333333333333</v>
      </c>
      <c r="F6" s="81">
        <f>D6*E6*References!$B$50</f>
        <v>1121.3661527680449</v>
      </c>
      <c r="G6" s="81">
        <f>+References!B16</f>
        <v>20</v>
      </c>
      <c r="H6" s="81">
        <f>F6*G6</f>
        <v>22427.323055360899</v>
      </c>
      <c r="I6" s="81">
        <f t="shared" ref="I6:I23" si="0">H6*$D$102</f>
        <v>14781.030078314823</v>
      </c>
      <c r="J6" s="98">
        <f>I6*References!$C$55</f>
        <v>29.562060156629673</v>
      </c>
      <c r="K6" s="98">
        <f>J6/References!$G$58</f>
        <v>30.168445919613912</v>
      </c>
      <c r="L6" s="98">
        <f>K6/F6*E6</f>
        <v>0.1165809508300439</v>
      </c>
      <c r="M6" s="98">
        <f>+'Proposed Rates'!B10</f>
        <v>16.239999999999998</v>
      </c>
      <c r="N6" s="98">
        <f>L6+M6</f>
        <v>16.356580950830043</v>
      </c>
      <c r="O6" s="98">
        <f>+'Proposed Rates'!D10</f>
        <v>16.356580950830043</v>
      </c>
      <c r="P6" s="98">
        <f>D6*M6*References!$B$50</f>
        <v>4202.535304835319</v>
      </c>
      <c r="Q6" s="98">
        <f>D6*O6*References!$B$50</f>
        <v>4232.703750754933</v>
      </c>
      <c r="R6" s="98">
        <f>Q6-P6</f>
        <v>30.168445919613987</v>
      </c>
      <c r="S6" s="98">
        <f>D6*N6*References!$B$50</f>
        <v>4232.703750754933</v>
      </c>
      <c r="T6" s="98">
        <f>Q6-S6</f>
        <v>0</v>
      </c>
      <c r="U6" s="113">
        <f>N6</f>
        <v>16.356580950830043</v>
      </c>
      <c r="V6" s="113">
        <f>D6*U6*References!$B$50</f>
        <v>4232.703750754933</v>
      </c>
      <c r="W6" s="113">
        <f>V6-P6</f>
        <v>30.168445919613987</v>
      </c>
      <c r="X6" s="178">
        <f>I6*(References!$C$55/References!$G$58)</f>
        <v>30.168445919613912</v>
      </c>
      <c r="Y6" s="98">
        <f>W6-X6</f>
        <v>7.460698725481052E-14</v>
      </c>
    </row>
    <row r="7" spans="1:31">
      <c r="A7" s="266"/>
      <c r="B7" s="134">
        <v>26</v>
      </c>
      <c r="C7" s="1" t="s">
        <v>11</v>
      </c>
      <c r="D7" s="81">
        <f>+VLOOKUP(C7,'Whitman Reg - Price Out'!B:G,6,FALSE)</f>
        <v>42.868746364165212</v>
      </c>
      <c r="E7" s="90">
        <f>+References!B12</f>
        <v>1</v>
      </c>
      <c r="F7" s="81">
        <f>D7*E7*References!$B$50</f>
        <v>514.42495636998251</v>
      </c>
      <c r="G7" s="81">
        <f>+References!B17</f>
        <v>34</v>
      </c>
      <c r="H7" s="81">
        <f t="shared" ref="H7:H23" si="1">F7*G7</f>
        <v>17490.448516579407</v>
      </c>
      <c r="I7" s="81">
        <f t="shared" si="0"/>
        <v>11527.316254758292</v>
      </c>
      <c r="J7" s="98">
        <f>I7*References!$C$55</f>
        <v>23.054632509516605</v>
      </c>
      <c r="K7" s="98">
        <f>J7/References!$G$58</f>
        <v>23.527535982770289</v>
      </c>
      <c r="L7" s="98">
        <f t="shared" ref="L7:L23" si="2">K7/F7*E7</f>
        <v>4.5735603787171078E-2</v>
      </c>
      <c r="M7" s="98">
        <f>+'Proposed Rates'!B19</f>
        <v>13.05</v>
      </c>
      <c r="N7" s="98">
        <f t="shared" ref="N7:N23" si="3">L7+M7</f>
        <v>13.095735603787173</v>
      </c>
      <c r="O7" s="98">
        <f>+'Proposed Rates'!D19</f>
        <v>13.095735603787173</v>
      </c>
      <c r="P7" s="98">
        <f>D7*M7*References!$B$50</f>
        <v>6713.2456806282735</v>
      </c>
      <c r="Q7" s="98">
        <f>D7*O7*References!$B$50</f>
        <v>6736.7732166110436</v>
      </c>
      <c r="R7" s="98">
        <f t="shared" ref="R7:R23" si="4">Q7-P7</f>
        <v>23.527535982770132</v>
      </c>
      <c r="S7" s="98">
        <f>D7*N7*References!$B$50</f>
        <v>6736.7732166110436</v>
      </c>
      <c r="T7" s="98">
        <f t="shared" ref="T7:T24" si="5">Q7-S7</f>
        <v>0</v>
      </c>
      <c r="U7" s="113">
        <f t="shared" ref="U7:U23" si="6">N7</f>
        <v>13.095735603787173</v>
      </c>
      <c r="V7" s="113">
        <f>D7*U7*References!$B$50</f>
        <v>6736.7732166110436</v>
      </c>
      <c r="W7" s="113">
        <f t="shared" ref="W7:W23" si="7">V7-P7</f>
        <v>23.527535982770132</v>
      </c>
      <c r="X7" s="178">
        <f>I7*(References!$C$55/References!$G$58)</f>
        <v>23.527535982770289</v>
      </c>
      <c r="Y7" s="98">
        <f t="shared" ref="Y7:Y23" si="8">W7-X7</f>
        <v>-1.5631940186722204E-13</v>
      </c>
    </row>
    <row r="8" spans="1:31">
      <c r="A8" s="266"/>
      <c r="B8" s="134">
        <v>26</v>
      </c>
      <c r="C8" s="1" t="s">
        <v>13</v>
      </c>
      <c r="D8" s="81">
        <f>+VLOOKUP(C8,'Whitman Reg - Price Out'!B:G,6,FALSE)</f>
        <v>969.38484432234429</v>
      </c>
      <c r="E8" s="90">
        <f>+References!B10</f>
        <v>4.333333333333333</v>
      </c>
      <c r="F8" s="81">
        <f>D8*E8*References!$B$50</f>
        <v>50408.011904761894</v>
      </c>
      <c r="G8" s="81">
        <f>+References!B17</f>
        <v>34</v>
      </c>
      <c r="H8" s="81">
        <f t="shared" si="1"/>
        <v>1713872.4047619044</v>
      </c>
      <c r="I8" s="81">
        <f t="shared" si="0"/>
        <v>1129550.7494428346</v>
      </c>
      <c r="J8" s="98">
        <f>I8*References!$C$55</f>
        <v>2259.1014988856714</v>
      </c>
      <c r="K8" s="98">
        <f>J8/References!$G$58</f>
        <v>2305.4408601751929</v>
      </c>
      <c r="L8" s="98">
        <f t="shared" si="2"/>
        <v>0.19818761641107466</v>
      </c>
      <c r="M8" s="98">
        <f>+'Proposed Rates'!B11</f>
        <v>20.72</v>
      </c>
      <c r="N8" s="98">
        <f t="shared" si="3"/>
        <v>20.918187616411075</v>
      </c>
      <c r="O8" s="98">
        <f>+'Proposed Rates'!D11</f>
        <v>20.918187616411075</v>
      </c>
      <c r="P8" s="98">
        <f>D8*M8*References!$B$50</f>
        <v>241027.84769230767</v>
      </c>
      <c r="Q8" s="98">
        <f>D8*O8*References!$B$50</f>
        <v>243333.28855248285</v>
      </c>
      <c r="R8" s="98">
        <f t="shared" si="4"/>
        <v>2305.4408601751784</v>
      </c>
      <c r="S8" s="98">
        <f>D8*N8*References!$B$50</f>
        <v>243333.28855248285</v>
      </c>
      <c r="T8" s="98">
        <f t="shared" si="5"/>
        <v>0</v>
      </c>
      <c r="U8" s="113">
        <f t="shared" si="6"/>
        <v>20.918187616411075</v>
      </c>
      <c r="V8" s="113">
        <f>D8*U8*References!$B$50</f>
        <v>243333.28855248285</v>
      </c>
      <c r="W8" s="113">
        <f t="shared" si="7"/>
        <v>2305.4408601751784</v>
      </c>
      <c r="X8" s="178">
        <f>I8*(References!$C$55/References!$G$58)</f>
        <v>2305.4408601751925</v>
      </c>
      <c r="Y8" s="98">
        <f t="shared" si="8"/>
        <v>-1.4097167877480388E-11</v>
      </c>
    </row>
    <row r="9" spans="1:31">
      <c r="A9" s="266"/>
      <c r="B9" s="134">
        <v>26</v>
      </c>
      <c r="C9" s="1" t="s">
        <v>15</v>
      </c>
      <c r="D9" s="81">
        <f>+VLOOKUP(C9,'Whitman Reg - Price Out'!B:G,6,FALSE)</f>
        <v>166.39654816039686</v>
      </c>
      <c r="E9" s="90">
        <f>+References!B10</f>
        <v>4.333333333333333</v>
      </c>
      <c r="F9" s="81">
        <f>D9*E9*References!$B$50</f>
        <v>8652.6205043406353</v>
      </c>
      <c r="G9" s="81">
        <f>+References!B18</f>
        <v>51</v>
      </c>
      <c r="H9" s="81">
        <f t="shared" si="1"/>
        <v>441283.64572137239</v>
      </c>
      <c r="I9" s="81">
        <f t="shared" si="0"/>
        <v>290833.94502211426</v>
      </c>
      <c r="J9" s="98">
        <f>I9*References!$C$55</f>
        <v>581.66789004422901</v>
      </c>
      <c r="K9" s="98">
        <f>J9/References!$G$58</f>
        <v>593.59923466091334</v>
      </c>
      <c r="L9" s="98">
        <f t="shared" si="2"/>
        <v>0.29728142461661189</v>
      </c>
      <c r="M9" s="98">
        <f>+'Proposed Rates'!B12</f>
        <v>27.54</v>
      </c>
      <c r="N9" s="98">
        <f t="shared" si="3"/>
        <v>27.837281424616609</v>
      </c>
      <c r="O9" s="98">
        <f>+'Proposed Rates'!D12</f>
        <v>27.837281424616609</v>
      </c>
      <c r="P9" s="98">
        <f>D9*M9*References!$B$50</f>
        <v>54990.731236047955</v>
      </c>
      <c r="Q9" s="98">
        <f>D9*O9*References!$B$50</f>
        <v>55584.330470708868</v>
      </c>
      <c r="R9" s="98">
        <f t="shared" si="4"/>
        <v>593.59923466091277</v>
      </c>
      <c r="S9" s="98">
        <f>D9*N9*References!$B$50</f>
        <v>55584.330470708868</v>
      </c>
      <c r="T9" s="98">
        <f t="shared" si="5"/>
        <v>0</v>
      </c>
      <c r="U9" s="113">
        <f t="shared" si="6"/>
        <v>27.837281424616609</v>
      </c>
      <c r="V9" s="113">
        <f>D9*U9*References!$B$50</f>
        <v>55584.330470708868</v>
      </c>
      <c r="W9" s="113">
        <f t="shared" si="7"/>
        <v>593.59923466091277</v>
      </c>
      <c r="X9" s="178">
        <f>I9*(References!$C$55/References!$G$58)</f>
        <v>593.59923466091334</v>
      </c>
      <c r="Y9" s="98">
        <f t="shared" si="8"/>
        <v>0</v>
      </c>
    </row>
    <row r="10" spans="1:31">
      <c r="A10" s="266"/>
      <c r="B10" s="134">
        <v>26</v>
      </c>
      <c r="C10" s="1" t="s">
        <v>17</v>
      </c>
      <c r="D10" s="81">
        <f>+VLOOKUP(C10,'Whitman Reg - Price Out'!B:G,6,FALSE)</f>
        <v>11.144113983182811</v>
      </c>
      <c r="E10" s="90">
        <f>+References!B10</f>
        <v>4.333333333333333</v>
      </c>
      <c r="F10" s="81">
        <f>D10*E10*References!$B$50</f>
        <v>579.49392712550616</v>
      </c>
      <c r="G10" s="81">
        <f>+References!B19</f>
        <v>77</v>
      </c>
      <c r="H10" s="81">
        <f t="shared" si="1"/>
        <v>44621.032388663974</v>
      </c>
      <c r="I10" s="81">
        <f t="shared" si="0"/>
        <v>29408.093878803262</v>
      </c>
      <c r="J10" s="98">
        <f>I10*References!$C$55</f>
        <v>58.816187757606578</v>
      </c>
      <c r="K10" s="98">
        <f>J10/References!$G$58</f>
        <v>60.022642879484209</v>
      </c>
      <c r="L10" s="98">
        <f t="shared" si="2"/>
        <v>0.44883666069566902</v>
      </c>
      <c r="M10" s="98">
        <f>+'Proposed Rates'!B13</f>
        <v>36.549999999999997</v>
      </c>
      <c r="N10" s="98">
        <f t="shared" si="3"/>
        <v>36.998836660695666</v>
      </c>
      <c r="O10" s="98">
        <f>+'Proposed Rates'!D13</f>
        <v>36.998836660695666</v>
      </c>
      <c r="P10" s="98">
        <f>D10*M10*References!$B$50</f>
        <v>4887.80839302398</v>
      </c>
      <c r="Q10" s="98">
        <f>D10*O10*References!$B$50</f>
        <v>4947.831035903464</v>
      </c>
      <c r="R10" s="98">
        <f t="shared" si="4"/>
        <v>60.02264287948401</v>
      </c>
      <c r="S10" s="98">
        <f>D10*N10*References!$B$50</f>
        <v>4947.831035903464</v>
      </c>
      <c r="T10" s="98">
        <f t="shared" si="5"/>
        <v>0</v>
      </c>
      <c r="U10" s="113">
        <f t="shared" si="6"/>
        <v>36.998836660695666</v>
      </c>
      <c r="V10" s="113">
        <f>D10*U10*References!$B$50</f>
        <v>4947.831035903464</v>
      </c>
      <c r="W10" s="113">
        <f t="shared" si="7"/>
        <v>60.02264287948401</v>
      </c>
      <c r="X10" s="178">
        <f>I10*(References!$C$55/References!$G$58)</f>
        <v>60.022642879484202</v>
      </c>
      <c r="Y10" s="98">
        <f t="shared" si="8"/>
        <v>-1.9184653865522705E-13</v>
      </c>
    </row>
    <row r="11" spans="1:31">
      <c r="A11" s="266"/>
      <c r="B11" s="134">
        <v>26</v>
      </c>
      <c r="C11" s="1" t="s">
        <v>19</v>
      </c>
      <c r="D11" s="81">
        <f>+VLOOKUP(C11,'Whitman Reg - Price Out'!B:G,6,FALSE)</f>
        <v>0.99945345416964793</v>
      </c>
      <c r="E11" s="90">
        <f>+References!B10</f>
        <v>4.333333333333333</v>
      </c>
      <c r="F11" s="81">
        <f>D11*E11*References!$B$50</f>
        <v>51.971579616821685</v>
      </c>
      <c r="G11" s="81">
        <f>+References!B20</f>
        <v>97</v>
      </c>
      <c r="H11" s="81">
        <f t="shared" si="1"/>
        <v>5041.2432228317039</v>
      </c>
      <c r="I11" s="81">
        <f t="shared" si="0"/>
        <v>3322.4994139888927</v>
      </c>
      <c r="J11" s="98">
        <f>I11*References!$C$55</f>
        <v>6.6449988279777914</v>
      </c>
      <c r="K11" s="98">
        <f>J11/References!$G$58</f>
        <v>6.7813030186527108</v>
      </c>
      <c r="L11" s="98">
        <f t="shared" si="2"/>
        <v>0.5654176115257129</v>
      </c>
      <c r="M11" s="98">
        <f>+'Proposed Rates'!B14</f>
        <v>47.73</v>
      </c>
      <c r="N11" s="98">
        <f t="shared" si="3"/>
        <v>48.295417611525707</v>
      </c>
      <c r="O11" s="98">
        <f>+'Proposed Rates'!D14</f>
        <v>48.295417611525707</v>
      </c>
      <c r="P11" s="98">
        <f>D11*M11*References!$B$50</f>
        <v>572.44696041020757</v>
      </c>
      <c r="Q11" s="98">
        <f>D11*O11*References!$B$50</f>
        <v>579.22826342886015</v>
      </c>
      <c r="R11" s="98">
        <f t="shared" si="4"/>
        <v>6.7813030186525793</v>
      </c>
      <c r="S11" s="98">
        <f>D11*N11*References!$B$50</f>
        <v>579.22826342886015</v>
      </c>
      <c r="T11" s="98">
        <f t="shared" si="5"/>
        <v>0</v>
      </c>
      <c r="U11" s="113">
        <f t="shared" si="6"/>
        <v>48.295417611525707</v>
      </c>
      <c r="V11" s="113">
        <f>D11*U11*References!$B$50</f>
        <v>579.22826342886015</v>
      </c>
      <c r="W11" s="113">
        <f t="shared" si="7"/>
        <v>6.7813030186525793</v>
      </c>
      <c r="X11" s="178">
        <f>I11*(References!$C$55/References!$G$58)</f>
        <v>6.7813030186527108</v>
      </c>
      <c r="Y11" s="98">
        <f t="shared" si="8"/>
        <v>-1.3145040611561853E-13</v>
      </c>
    </row>
    <row r="12" spans="1:31">
      <c r="A12" s="266"/>
      <c r="B12" s="134">
        <v>26</v>
      </c>
      <c r="C12" s="1" t="s">
        <v>21</v>
      </c>
      <c r="D12" s="81">
        <f>+VLOOKUP(C12,'Whitman Reg - Price Out'!B:G,6,FALSE)</f>
        <v>869.90060144088523</v>
      </c>
      <c r="E12" s="90">
        <f>+References!$B$10</f>
        <v>4.333333333333333</v>
      </c>
      <c r="F12" s="81">
        <f>D12*E12*References!$B$50</f>
        <v>45234.831274926029</v>
      </c>
      <c r="G12" s="81">
        <f>+References!B23</f>
        <v>47</v>
      </c>
      <c r="H12" s="81">
        <f t="shared" si="1"/>
        <v>2126037.0699215233</v>
      </c>
      <c r="I12" s="81">
        <f t="shared" si="0"/>
        <v>1401193.4371548055</v>
      </c>
      <c r="J12" s="98">
        <f>I12*References!$C$55</f>
        <v>2802.3868743096136</v>
      </c>
      <c r="K12" s="98">
        <f>J12/References!$G$58</f>
        <v>2859.870266669674</v>
      </c>
      <c r="L12" s="98">
        <f t="shared" si="2"/>
        <v>0.27396523445060317</v>
      </c>
      <c r="M12" s="98">
        <f>+'Proposed Rates'!B17</f>
        <v>29.49</v>
      </c>
      <c r="N12" s="98">
        <f t="shared" si="3"/>
        <v>29.763965234450602</v>
      </c>
      <c r="O12" s="98">
        <f>+'Proposed Rates'!D17</f>
        <v>29.763965234450602</v>
      </c>
      <c r="P12" s="98">
        <f>D12*M12*References!$B$50</f>
        <v>307840.42483790044</v>
      </c>
      <c r="Q12" s="98">
        <f>D12*O12*References!$B$50</f>
        <v>310700.2951045701</v>
      </c>
      <c r="R12" s="98">
        <f t="shared" si="4"/>
        <v>2859.8702666696627</v>
      </c>
      <c r="S12" s="98">
        <f>D12*N12*References!$B$50</f>
        <v>310700.2951045701</v>
      </c>
      <c r="T12" s="98">
        <f t="shared" si="5"/>
        <v>0</v>
      </c>
      <c r="U12" s="113">
        <f t="shared" si="6"/>
        <v>29.763965234450602</v>
      </c>
      <c r="V12" s="113">
        <f>D12*U12*References!$B$50</f>
        <v>310700.2951045701</v>
      </c>
      <c r="W12" s="113">
        <f t="shared" si="7"/>
        <v>2859.8702666696627</v>
      </c>
      <c r="X12" s="178">
        <f>I12*(References!$C$55/References!$G$58)</f>
        <v>2859.870266669674</v>
      </c>
      <c r="Y12" s="98">
        <f t="shared" si="8"/>
        <v>-1.1368683772161603E-11</v>
      </c>
    </row>
    <row r="13" spans="1:31" s="75" customFormat="1">
      <c r="A13" s="266"/>
      <c r="B13" s="134">
        <v>26</v>
      </c>
      <c r="C13" s="75" t="s">
        <v>333</v>
      </c>
      <c r="D13" s="81">
        <f>+VLOOKUP(C13,'Whitman Reg - Price Out'!B:G,6,FALSE)</f>
        <v>4.9532194776791458</v>
      </c>
      <c r="E13" s="175">
        <f>+References!$B$10</f>
        <v>4.333333333333333</v>
      </c>
      <c r="F13" s="84">
        <f>D13*E13*References!$B$50</f>
        <v>257.56741283931558</v>
      </c>
      <c r="G13" s="84">
        <f>+References!B23*2</f>
        <v>94</v>
      </c>
      <c r="H13" s="81">
        <f t="shared" ref="H13" si="9">F13*G13</f>
        <v>24211.336806895666</v>
      </c>
      <c r="I13" s="81">
        <f t="shared" si="0"/>
        <v>15956.8084294123</v>
      </c>
      <c r="J13" s="98">
        <f>I13*References!$C$55</f>
        <v>31.913616858824629</v>
      </c>
      <c r="K13" s="98">
        <f>J13/References!$G$58</f>
        <v>32.568238451703877</v>
      </c>
      <c r="L13" s="98">
        <f t="shared" si="2"/>
        <v>0.54793046890120634</v>
      </c>
      <c r="M13" s="98">
        <f>+'Proposed Rates'!B17*2</f>
        <v>58.98</v>
      </c>
      <c r="N13" s="98">
        <f>L13+M13</f>
        <v>59.527930468901204</v>
      </c>
      <c r="O13" s="98">
        <f>+'Proposed Rates'!D17*2</f>
        <v>59.527930468901204</v>
      </c>
      <c r="P13" s="98">
        <f>D13*M13*References!$B$50</f>
        <v>3505.690617522192</v>
      </c>
      <c r="Q13" s="98">
        <f>D13*O13*References!$B$50</f>
        <v>3538.2588559738961</v>
      </c>
      <c r="R13" s="98">
        <f t="shared" si="4"/>
        <v>32.568238451704019</v>
      </c>
      <c r="S13" s="98">
        <f>D13*N13*References!$B$50</f>
        <v>3538.2588559738961</v>
      </c>
      <c r="T13" s="98">
        <f t="shared" si="5"/>
        <v>0</v>
      </c>
      <c r="U13" s="113">
        <f t="shared" si="6"/>
        <v>59.527930468901204</v>
      </c>
      <c r="V13" s="113">
        <f>D13*U13*References!$B$50</f>
        <v>3538.2588559738961</v>
      </c>
      <c r="W13" s="113">
        <f t="shared" si="7"/>
        <v>32.568238451704019</v>
      </c>
      <c r="X13" s="178">
        <f>I13*(References!$C$55/References!$G$58)</f>
        <v>32.568238451703877</v>
      </c>
      <c r="Y13" s="98">
        <f t="shared" si="8"/>
        <v>1.4210854715202004E-13</v>
      </c>
      <c r="AA13"/>
      <c r="AB13"/>
      <c r="AC13"/>
      <c r="AD13"/>
      <c r="AE13"/>
    </row>
    <row r="14" spans="1:31">
      <c r="A14" s="266"/>
      <c r="B14" s="134">
        <v>26</v>
      </c>
      <c r="C14" s="1" t="s">
        <v>23</v>
      </c>
      <c r="D14" s="81">
        <f>+VLOOKUP(C14,'Whitman Reg - Price Out'!B:G,6,FALSE)</f>
        <v>1.9948861443458126</v>
      </c>
      <c r="E14" s="175">
        <f>+References!$B$10</f>
        <v>4.333333333333333</v>
      </c>
      <c r="F14" s="84">
        <f>D14*E14*References!$B$50</f>
        <v>103.73407950598224</v>
      </c>
      <c r="G14" s="84">
        <f>+References!B23*3</f>
        <v>141</v>
      </c>
      <c r="H14" s="81">
        <f t="shared" si="1"/>
        <v>14626.505210343495</v>
      </c>
      <c r="I14" s="81">
        <f t="shared" si="0"/>
        <v>9639.7957491871821</v>
      </c>
      <c r="J14" s="98">
        <f>I14*References!$C$55</f>
        <v>19.27959149837438</v>
      </c>
      <c r="K14" s="98">
        <f>J14/References!$G$58</f>
        <v>19.675060208566567</v>
      </c>
      <c r="L14" s="98">
        <f t="shared" si="2"/>
        <v>0.82189570335180939</v>
      </c>
      <c r="M14" s="98">
        <f>+'Proposed Rates'!B17*3</f>
        <v>88.47</v>
      </c>
      <c r="N14" s="98">
        <f t="shared" si="3"/>
        <v>89.291895703351813</v>
      </c>
      <c r="O14" s="98">
        <f>+'Proposed Rates'!D17*3</f>
        <v>89.291895703351798</v>
      </c>
      <c r="P14" s="98">
        <f>D14*M14*References!$B$50</f>
        <v>2117.8509262832886</v>
      </c>
      <c r="Q14" s="98">
        <f>D14*O14*References!$B$50</f>
        <v>2137.5259864918548</v>
      </c>
      <c r="R14" s="98">
        <f t="shared" si="4"/>
        <v>19.675060208566265</v>
      </c>
      <c r="S14" s="98">
        <f>D14*N14*References!$B$50</f>
        <v>2137.5259864918553</v>
      </c>
      <c r="T14" s="98">
        <f t="shared" si="5"/>
        <v>0</v>
      </c>
      <c r="U14" s="113">
        <f t="shared" si="6"/>
        <v>89.291895703351813</v>
      </c>
      <c r="V14" s="113">
        <f>D14*U14*References!$B$50</f>
        <v>2137.5259864918553</v>
      </c>
      <c r="W14" s="113">
        <f t="shared" si="7"/>
        <v>19.67506020856672</v>
      </c>
      <c r="X14" s="178">
        <f>I14*(References!$C$55/References!$G$58)</f>
        <v>19.675060208566567</v>
      </c>
      <c r="Y14" s="98">
        <f t="shared" si="8"/>
        <v>1.5276668818842154E-13</v>
      </c>
    </row>
    <row r="15" spans="1:31">
      <c r="A15" s="266"/>
      <c r="B15" s="134">
        <v>26</v>
      </c>
      <c r="C15" s="1" t="s">
        <v>25</v>
      </c>
      <c r="D15" s="81">
        <f>+VLOOKUP(C15,'Whitman Reg - Price Out'!B:G,6,FALSE)</f>
        <v>1248.3961842378872</v>
      </c>
      <c r="E15" s="90">
        <f>+References!B10</f>
        <v>4.333333333333333</v>
      </c>
      <c r="F15" s="81">
        <f>D15*E15*References!$B$50</f>
        <v>64916.60158037013</v>
      </c>
      <c r="G15" s="81">
        <f>+References!B24</f>
        <v>68</v>
      </c>
      <c r="H15" s="81">
        <f t="shared" si="1"/>
        <v>4414328.9074651692</v>
      </c>
      <c r="I15" s="81">
        <f t="shared" si="0"/>
        <v>2909323.0697107515</v>
      </c>
      <c r="J15" s="98">
        <f>I15*References!$C$55</f>
        <v>5818.6461394215085</v>
      </c>
      <c r="K15" s="98">
        <f>J15/References!$G$58</f>
        <v>5937.9999381789048</v>
      </c>
      <c r="L15" s="98">
        <f t="shared" si="2"/>
        <v>0.39637523282214937</v>
      </c>
      <c r="M15" s="98">
        <f>+'Proposed Rates'!B18</f>
        <v>36.49</v>
      </c>
      <c r="N15" s="98">
        <f t="shared" si="3"/>
        <v>36.886375232822154</v>
      </c>
      <c r="O15" s="98">
        <f>+'Proposed Rates'!D18</f>
        <v>36.886375232822154</v>
      </c>
      <c r="P15" s="98">
        <f>D15*M15*References!$B$50</f>
        <v>546647.72115408606</v>
      </c>
      <c r="Q15" s="98">
        <f>D15*O15*References!$B$50</f>
        <v>552585.72109226498</v>
      </c>
      <c r="R15" s="98">
        <f t="shared" si="4"/>
        <v>5937.9999381789239</v>
      </c>
      <c r="S15" s="98">
        <f>D15*N15*References!$B$50</f>
        <v>552585.72109226498</v>
      </c>
      <c r="T15" s="98">
        <f t="shared" si="5"/>
        <v>0</v>
      </c>
      <c r="U15" s="113">
        <f t="shared" si="6"/>
        <v>36.886375232822154</v>
      </c>
      <c r="V15" s="113">
        <f>D15*U15*References!$B$50</f>
        <v>552585.72109226498</v>
      </c>
      <c r="W15" s="113">
        <f t="shared" si="7"/>
        <v>5937.9999381789239</v>
      </c>
      <c r="X15" s="178">
        <f>I15*(References!$C$55/References!$G$58)</f>
        <v>5937.9999381789039</v>
      </c>
      <c r="Y15" s="98">
        <f t="shared" si="8"/>
        <v>2.0008883439004421E-11</v>
      </c>
    </row>
    <row r="16" spans="1:31">
      <c r="A16" s="266"/>
      <c r="B16" s="134">
        <v>26</v>
      </c>
      <c r="C16" s="1" t="s">
        <v>27</v>
      </c>
      <c r="D16" s="81">
        <f>+VLOOKUP(C16,'Whitman Reg - Price Out'!B:G,6,FALSE)</f>
        <v>12.561486275732998</v>
      </c>
      <c r="E16" s="175">
        <f>+References!$B$10</f>
        <v>4.333333333333333</v>
      </c>
      <c r="F16" s="81">
        <f>D16*E16*References!$B$50</f>
        <v>653.19728633811587</v>
      </c>
      <c r="G16" s="84">
        <f>+References!B24*2</f>
        <v>136</v>
      </c>
      <c r="H16" s="81">
        <f t="shared" si="1"/>
        <v>88834.830941983761</v>
      </c>
      <c r="I16" s="81">
        <f t="shared" si="0"/>
        <v>58547.794799861571</v>
      </c>
      <c r="J16" s="98">
        <f>I16*References!$C$55</f>
        <v>117.09558959972324</v>
      </c>
      <c r="K16" s="98">
        <f>J16/References!$G$58</f>
        <v>119.4974891312616</v>
      </c>
      <c r="L16" s="98">
        <f t="shared" si="2"/>
        <v>0.79275046564429852</v>
      </c>
      <c r="M16" s="98">
        <f>+'Proposed Rates'!B18*2</f>
        <v>72.98</v>
      </c>
      <c r="N16" s="98">
        <f t="shared" si="3"/>
        <v>73.772750465644307</v>
      </c>
      <c r="O16" s="98">
        <f>+'Proposed Rates'!D18*2</f>
        <v>73.772750465644307</v>
      </c>
      <c r="P16" s="98">
        <f>D16*M16*References!$B$50</f>
        <v>11000.847220835931</v>
      </c>
      <c r="Q16" s="98">
        <f>D16*O16*References!$B$50</f>
        <v>11120.344709967194</v>
      </c>
      <c r="R16" s="98">
        <f t="shared" si="4"/>
        <v>119.49748913126314</v>
      </c>
      <c r="S16" s="98">
        <f>D16*N16*References!$B$50</f>
        <v>11120.344709967194</v>
      </c>
      <c r="T16" s="98">
        <f>Q16-S16</f>
        <v>0</v>
      </c>
      <c r="U16" s="113">
        <f t="shared" si="6"/>
        <v>73.772750465644307</v>
      </c>
      <c r="V16" s="113">
        <f>D16*U16*References!$B$50</f>
        <v>11120.344709967194</v>
      </c>
      <c r="W16" s="113">
        <f t="shared" si="7"/>
        <v>119.49748913126314</v>
      </c>
      <c r="X16" s="178">
        <f>I16*(References!$C$55/References!$G$58)</f>
        <v>119.4974891312616</v>
      </c>
      <c r="Y16" s="98">
        <f t="shared" si="8"/>
        <v>1.5347723092418164E-12</v>
      </c>
    </row>
    <row r="17" spans="1:31">
      <c r="A17" s="266"/>
      <c r="B17" s="134">
        <v>27</v>
      </c>
      <c r="C17" s="1" t="s">
        <v>29</v>
      </c>
      <c r="D17" s="81">
        <f>+VLOOKUP(C17,'Whitman Reg - Price Out'!B:G,6,FALSE)</f>
        <v>1.1666666666666667</v>
      </c>
      <c r="E17" s="90">
        <f>+References!$B$12</f>
        <v>1</v>
      </c>
      <c r="F17" s="81">
        <f>D17*E17*References!$B$50</f>
        <v>14</v>
      </c>
      <c r="G17" s="81">
        <f>+References!B17</f>
        <v>34</v>
      </c>
      <c r="H17" s="81">
        <f t="shared" si="1"/>
        <v>476</v>
      </c>
      <c r="I17" s="81">
        <f t="shared" si="0"/>
        <v>313.71422705734227</v>
      </c>
      <c r="J17" s="98">
        <f>I17*References!$C$55</f>
        <v>0.62742845411468506</v>
      </c>
      <c r="K17" s="98">
        <f>J17/References!$G$58</f>
        <v>0.64029845302039501</v>
      </c>
      <c r="L17" s="98">
        <f t="shared" si="2"/>
        <v>4.5735603787171071E-2</v>
      </c>
      <c r="M17" s="98">
        <f>+'Proposed Rates'!B24</f>
        <v>14.35</v>
      </c>
      <c r="N17" s="98">
        <f t="shared" si="3"/>
        <v>14.395735603787172</v>
      </c>
      <c r="O17" s="98">
        <f>+'Proposed Rates'!D24</f>
        <v>14.395735603787172</v>
      </c>
      <c r="P17" s="98">
        <f>F17*M17</f>
        <v>200.9</v>
      </c>
      <c r="Q17" s="98">
        <f>F17*O17</f>
        <v>201.5402984530204</v>
      </c>
      <c r="R17" s="98">
        <f t="shared" si="4"/>
        <v>0.64029845302039234</v>
      </c>
      <c r="S17" s="98">
        <f>F17*N17</f>
        <v>201.5402984530204</v>
      </c>
      <c r="T17" s="98">
        <f t="shared" si="5"/>
        <v>0</v>
      </c>
      <c r="U17" s="113">
        <f t="shared" si="6"/>
        <v>14.395735603787172</v>
      </c>
      <c r="V17" s="113">
        <f>F17*U17</f>
        <v>201.5402984530204</v>
      </c>
      <c r="W17" s="113">
        <f t="shared" si="7"/>
        <v>0.64029845302039234</v>
      </c>
      <c r="X17" s="178">
        <f>I17*(References!$C$55/References!$G$58)</f>
        <v>0.64029845302039501</v>
      </c>
      <c r="Y17" s="98">
        <f t="shared" si="8"/>
        <v>-2.6645352591003757E-15</v>
      </c>
    </row>
    <row r="18" spans="1:31" s="162" customFormat="1">
      <c r="A18" s="266"/>
      <c r="B18" s="134">
        <v>27</v>
      </c>
      <c r="C18" s="162" t="s">
        <v>31</v>
      </c>
      <c r="D18" s="81">
        <f>+VLOOKUP(C18,'Whitman Reg - Price Out'!B:G,6,FALSE)</f>
        <v>1.4166666666666667</v>
      </c>
      <c r="E18" s="175">
        <f>+References!$B$12</f>
        <v>1</v>
      </c>
      <c r="F18" s="84">
        <f>D18*E18*References!$B$50</f>
        <v>17</v>
      </c>
      <c r="G18" s="84">
        <f>+References!B24</f>
        <v>68</v>
      </c>
      <c r="H18" s="84">
        <f t="shared" si="1"/>
        <v>1156</v>
      </c>
      <c r="I18" s="84">
        <f t="shared" si="0"/>
        <v>761.87740856783125</v>
      </c>
      <c r="J18" s="99">
        <f>I18*References!$C$55</f>
        <v>1.5237548171356639</v>
      </c>
      <c r="K18" s="99">
        <f>J18/References!$G$58</f>
        <v>1.5550105287638165</v>
      </c>
      <c r="L18" s="99">
        <f t="shared" si="2"/>
        <v>9.1471207574342142E-2</v>
      </c>
      <c r="M18" s="99">
        <f>+'Proposed Rates'!B24</f>
        <v>14.35</v>
      </c>
      <c r="N18" s="99">
        <f t="shared" si="3"/>
        <v>14.441471207574342</v>
      </c>
      <c r="O18" s="99">
        <f>+'Proposed Rates'!D24</f>
        <v>14.395735603787172</v>
      </c>
      <c r="P18" s="99">
        <f t="shared" ref="P18:P23" si="10">F18*M18</f>
        <v>243.95</v>
      </c>
      <c r="Q18" s="99">
        <f t="shared" ref="Q18:Q23" si="11">F18*O18</f>
        <v>244.7275052643819</v>
      </c>
      <c r="R18" s="99">
        <f t="shared" si="4"/>
        <v>0.77750526438191514</v>
      </c>
      <c r="S18" s="99">
        <f>F18*O18</f>
        <v>244.7275052643819</v>
      </c>
      <c r="T18" s="99">
        <f t="shared" si="5"/>
        <v>0</v>
      </c>
      <c r="U18" s="113">
        <f t="shared" si="6"/>
        <v>14.441471207574342</v>
      </c>
      <c r="V18" s="113">
        <f t="shared" ref="V18:V23" si="12">F18*U18</f>
        <v>245.50501052876382</v>
      </c>
      <c r="W18" s="113">
        <f t="shared" si="7"/>
        <v>1.5550105287638303</v>
      </c>
      <c r="X18" s="178">
        <f>I18*(References!$C$55/References!$G$58)</f>
        <v>1.5550105287638165</v>
      </c>
      <c r="Y18" s="98">
        <f t="shared" si="8"/>
        <v>1.3766765505351941E-14</v>
      </c>
      <c r="AA18" s="176"/>
      <c r="AB18" s="176"/>
      <c r="AC18" s="176"/>
      <c r="AD18" s="176"/>
      <c r="AE18" s="176"/>
    </row>
    <row r="19" spans="1:31">
      <c r="A19" s="266"/>
      <c r="B19" s="134">
        <v>27</v>
      </c>
      <c r="C19" s="1" t="s">
        <v>33</v>
      </c>
      <c r="D19" s="81">
        <f>+VLOOKUP(C19,'Whitman Reg - Price Out'!B:G,6,FALSE)</f>
        <v>339.52724358974359</v>
      </c>
      <c r="E19" s="90">
        <f>+References!$B$12</f>
        <v>1</v>
      </c>
      <c r="F19" s="81">
        <f>D19*E19*References!$B$50</f>
        <v>4074.3269230769229</v>
      </c>
      <c r="G19" s="81">
        <f>+References!B26</f>
        <v>34</v>
      </c>
      <c r="H19" s="81">
        <f t="shared" si="1"/>
        <v>138527.11538461538</v>
      </c>
      <c r="I19" s="81">
        <f t="shared" si="0"/>
        <v>91298.165817999747</v>
      </c>
      <c r="J19" s="98">
        <f>I19*References!$C$55</f>
        <v>182.59633163599966</v>
      </c>
      <c r="K19" s="98">
        <f>J19/References!$G$58</f>
        <v>186.34180185324999</v>
      </c>
      <c r="L19" s="98">
        <f t="shared" si="2"/>
        <v>4.5735603787171078E-2</v>
      </c>
      <c r="M19" s="98">
        <f>+'Proposed Rates'!B22</f>
        <v>4.74</v>
      </c>
      <c r="N19" s="98">
        <f t="shared" si="3"/>
        <v>4.7857356037871712</v>
      </c>
      <c r="O19" s="98">
        <f>+'Proposed Rates'!D22</f>
        <v>4.7857356037871712</v>
      </c>
      <c r="P19" s="98">
        <f t="shared" si="10"/>
        <v>19312.309615384616</v>
      </c>
      <c r="Q19" s="98">
        <f t="shared" si="11"/>
        <v>19498.651417237867</v>
      </c>
      <c r="R19" s="98">
        <f t="shared" si="4"/>
        <v>186.34180185325022</v>
      </c>
      <c r="S19" s="98">
        <f t="shared" ref="S19:S23" si="13">F19*N19</f>
        <v>19498.651417237867</v>
      </c>
      <c r="T19" s="98">
        <f t="shared" si="5"/>
        <v>0</v>
      </c>
      <c r="U19" s="113">
        <f t="shared" si="6"/>
        <v>4.7857356037871712</v>
      </c>
      <c r="V19" s="113">
        <f t="shared" si="12"/>
        <v>19498.651417237867</v>
      </c>
      <c r="W19" s="113">
        <f t="shared" si="7"/>
        <v>186.34180185325022</v>
      </c>
      <c r="X19" s="178">
        <f>I19*(References!$C$55/References!$G$58)</f>
        <v>186.34180185324996</v>
      </c>
      <c r="Y19" s="98">
        <f t="shared" si="8"/>
        <v>2.5579538487363607E-13</v>
      </c>
    </row>
    <row r="20" spans="1:31">
      <c r="A20" s="266"/>
      <c r="B20" s="134">
        <v>30</v>
      </c>
      <c r="C20" s="1" t="s">
        <v>35</v>
      </c>
      <c r="D20" s="81">
        <f>+VLOOKUP(C20,'Whitman Reg - Price Out'!B:G,6,FALSE)</f>
        <v>5.2484359961501452</v>
      </c>
      <c r="E20" s="90">
        <f>+References!$B$12</f>
        <v>1</v>
      </c>
      <c r="F20" s="81">
        <f>D20*E20*References!$B$50</f>
        <v>62.981231953801739</v>
      </c>
      <c r="G20" s="81">
        <f>+References!B48</f>
        <v>125</v>
      </c>
      <c r="H20" s="81">
        <f t="shared" si="1"/>
        <v>7872.6539942252175</v>
      </c>
      <c r="I20" s="81">
        <f t="shared" si="0"/>
        <v>5188.5789132106356</v>
      </c>
      <c r="J20" s="98">
        <f>I20*References!$C$55</f>
        <v>10.37715782642128</v>
      </c>
      <c r="K20" s="98">
        <f>J20/References!$G$58</f>
        <v>10.590017171569833</v>
      </c>
      <c r="L20" s="98">
        <f t="shared" si="2"/>
        <v>0.16814560215871718</v>
      </c>
      <c r="M20" s="99">
        <f>+'Proposed Rates'!B27</f>
        <v>23.65</v>
      </c>
      <c r="N20" s="98">
        <f t="shared" si="3"/>
        <v>23.818145602158715</v>
      </c>
      <c r="O20" s="99">
        <f>+'Proposed Rates'!D27</f>
        <v>23.818145602158715</v>
      </c>
      <c r="P20" s="98">
        <f t="shared" si="10"/>
        <v>1489.506135707411</v>
      </c>
      <c r="Q20" s="98">
        <f t="shared" si="11"/>
        <v>1500.0961528789808</v>
      </c>
      <c r="R20" s="98">
        <f t="shared" si="4"/>
        <v>10.590017171569798</v>
      </c>
      <c r="S20" s="98">
        <f t="shared" si="13"/>
        <v>1500.0961528789808</v>
      </c>
      <c r="T20" s="98">
        <f t="shared" si="5"/>
        <v>0</v>
      </c>
      <c r="U20" s="113">
        <f t="shared" si="6"/>
        <v>23.818145602158715</v>
      </c>
      <c r="V20" s="113">
        <f t="shared" si="12"/>
        <v>1500.0961528789808</v>
      </c>
      <c r="W20" s="113">
        <f t="shared" si="7"/>
        <v>10.590017171569798</v>
      </c>
      <c r="X20" s="178">
        <f>I20*(References!$C$55/References!$G$58)</f>
        <v>10.590017171569833</v>
      </c>
      <c r="Y20" s="98">
        <f t="shared" si="8"/>
        <v>-3.5527136788005009E-14</v>
      </c>
    </row>
    <row r="21" spans="1:31">
      <c r="A21" s="266"/>
      <c r="B21" s="134">
        <v>21</v>
      </c>
      <c r="C21" s="1" t="s">
        <v>37</v>
      </c>
      <c r="D21" s="81">
        <f>+VLOOKUP(C21,'Whitman Reg - Price Out'!B:G,6,FALSE)</f>
        <v>3.333733974358974</v>
      </c>
      <c r="E21" s="90">
        <f>+References!$B$12</f>
        <v>1</v>
      </c>
      <c r="F21" s="81">
        <f>D21*E21*References!$B$50</f>
        <v>40.004807692307686</v>
      </c>
      <c r="G21" s="81">
        <f>+References!B26</f>
        <v>34</v>
      </c>
      <c r="H21" s="81">
        <f t="shared" si="1"/>
        <v>1360.1634615384614</v>
      </c>
      <c r="I21" s="81">
        <f t="shared" si="0"/>
        <v>896.43409455499477</v>
      </c>
      <c r="J21" s="98">
        <f>I21*References!$C$55</f>
        <v>1.7928681891099911</v>
      </c>
      <c r="K21" s="98">
        <f>J21/References!$G$58</f>
        <v>1.8296440341973581</v>
      </c>
      <c r="L21" s="98">
        <f t="shared" si="2"/>
        <v>4.5735603787171078E-2</v>
      </c>
      <c r="M21" s="98">
        <f>+'Proposed Rates'!B7</f>
        <v>4.74</v>
      </c>
      <c r="N21" s="98">
        <f t="shared" si="3"/>
        <v>4.7857356037871712</v>
      </c>
      <c r="O21" s="98">
        <f>+'Proposed Rates'!D7</f>
        <v>4.7857356037871712</v>
      </c>
      <c r="P21" s="98">
        <f t="shared" si="10"/>
        <v>189.62278846153845</v>
      </c>
      <c r="Q21" s="98">
        <f t="shared" si="11"/>
        <v>191.45243249573579</v>
      </c>
      <c r="R21" s="98">
        <f t="shared" si="4"/>
        <v>1.8296440341973437</v>
      </c>
      <c r="S21" s="98">
        <f t="shared" si="13"/>
        <v>191.45243249573579</v>
      </c>
      <c r="T21" s="98">
        <f t="shared" si="5"/>
        <v>0</v>
      </c>
      <c r="U21" s="113">
        <f t="shared" si="6"/>
        <v>4.7857356037871712</v>
      </c>
      <c r="V21" s="113">
        <f t="shared" si="12"/>
        <v>191.45243249573579</v>
      </c>
      <c r="W21" s="113">
        <f t="shared" si="7"/>
        <v>1.8296440341973437</v>
      </c>
      <c r="X21" s="178">
        <f>I21*(References!$C$55/References!$G$58)</f>
        <v>1.8296440341973579</v>
      </c>
      <c r="Y21" s="98">
        <f t="shared" si="8"/>
        <v>-1.4210854715202004E-14</v>
      </c>
    </row>
    <row r="22" spans="1:31">
      <c r="A22" s="266"/>
      <c r="B22" s="134">
        <v>21</v>
      </c>
      <c r="C22" s="1" t="s">
        <v>39</v>
      </c>
      <c r="D22" s="81">
        <f>+VLOOKUP(C22,'Whitman Reg - Price Out'!B:G,6,FALSE)</f>
        <v>1.9158653846153844</v>
      </c>
      <c r="E22" s="90">
        <f>+References!$B$12</f>
        <v>1</v>
      </c>
      <c r="F22" s="81">
        <f>D22*E22*References!$B$50</f>
        <v>22.990384615384613</v>
      </c>
      <c r="G22" s="81">
        <f>+References!B26</f>
        <v>34</v>
      </c>
      <c r="H22" s="81">
        <f t="shared" si="1"/>
        <v>781.67307692307691</v>
      </c>
      <c r="I22" s="81">
        <f t="shared" si="0"/>
        <v>515.17219566902838</v>
      </c>
      <c r="J22" s="98">
        <f>I22*References!$C$55</f>
        <v>1.0303443913380577</v>
      </c>
      <c r="K22" s="98">
        <f>J22/References!$G$58</f>
        <v>1.0514791216839041</v>
      </c>
      <c r="L22" s="98">
        <f t="shared" si="2"/>
        <v>4.5735603787171071E-2</v>
      </c>
      <c r="M22" s="98">
        <f>+'Proposed Rates'!B7</f>
        <v>4.74</v>
      </c>
      <c r="N22" s="98">
        <f t="shared" si="3"/>
        <v>4.7857356037871712</v>
      </c>
      <c r="O22" s="98">
        <f>+'Proposed Rates'!D7</f>
        <v>4.7857356037871712</v>
      </c>
      <c r="P22" s="98">
        <f t="shared" si="10"/>
        <v>108.97442307692307</v>
      </c>
      <c r="Q22" s="98">
        <f t="shared" si="11"/>
        <v>110.02590219860697</v>
      </c>
      <c r="R22" s="98">
        <f t="shared" si="4"/>
        <v>1.0514791216838972</v>
      </c>
      <c r="S22" s="98">
        <f t="shared" si="13"/>
        <v>110.02590219860697</v>
      </c>
      <c r="T22" s="98">
        <f t="shared" si="5"/>
        <v>0</v>
      </c>
      <c r="U22" s="113">
        <f t="shared" si="6"/>
        <v>4.7857356037871712</v>
      </c>
      <c r="V22" s="113">
        <f t="shared" si="12"/>
        <v>110.02590219860697</v>
      </c>
      <c r="W22" s="113">
        <f t="shared" si="7"/>
        <v>1.0514791216838972</v>
      </c>
      <c r="X22" s="178">
        <f>I22*(References!$C$55/References!$G$58)</f>
        <v>1.0514791216839041</v>
      </c>
      <c r="Y22" s="98">
        <f t="shared" si="8"/>
        <v>-6.8833827526759706E-15</v>
      </c>
    </row>
    <row r="23" spans="1:31">
      <c r="A23" s="266"/>
      <c r="B23" s="134">
        <v>30</v>
      </c>
      <c r="C23" s="1" t="s">
        <v>41</v>
      </c>
      <c r="D23" s="81">
        <f>+VLOOKUP(C23,'Whitman Reg - Price Out'!B:G,6,FALSE)</f>
        <v>1.0410250240615977</v>
      </c>
      <c r="E23" s="90">
        <f>+References!$B$12</f>
        <v>1</v>
      </c>
      <c r="F23" s="81">
        <f>D23*E23*References!$B$50</f>
        <v>12.492300288739173</v>
      </c>
      <c r="G23" s="81">
        <f>+References!B48</f>
        <v>125</v>
      </c>
      <c r="H23" s="81">
        <f t="shared" si="1"/>
        <v>1561.5375360923967</v>
      </c>
      <c r="I23" s="81">
        <f t="shared" si="0"/>
        <v>1029.152397387086</v>
      </c>
      <c r="J23" s="98">
        <f>I23*References!$C$55</f>
        <v>2.0583047947741737</v>
      </c>
      <c r="K23" s="98">
        <f>J23/References!$G$58</f>
        <v>2.1005253543975648</v>
      </c>
      <c r="L23" s="98">
        <f t="shared" si="2"/>
        <v>0.16814560215871718</v>
      </c>
      <c r="M23" s="99">
        <f>+'Proposed Rates'!B27</f>
        <v>23.65</v>
      </c>
      <c r="N23" s="98">
        <f t="shared" si="3"/>
        <v>23.818145602158715</v>
      </c>
      <c r="O23" s="99">
        <f>+'Proposed Rates'!D27</f>
        <v>23.818145602158715</v>
      </c>
      <c r="P23" s="98">
        <f t="shared" si="10"/>
        <v>295.44290182868144</v>
      </c>
      <c r="Q23" s="98">
        <f t="shared" si="11"/>
        <v>297.54342718307896</v>
      </c>
      <c r="R23" s="98">
        <f t="shared" si="4"/>
        <v>2.1005253543975186</v>
      </c>
      <c r="S23" s="98">
        <f t="shared" si="13"/>
        <v>297.54342718307896</v>
      </c>
      <c r="T23" s="98">
        <f t="shared" si="5"/>
        <v>0</v>
      </c>
      <c r="U23" s="113">
        <f t="shared" si="6"/>
        <v>23.818145602158715</v>
      </c>
      <c r="V23" s="113">
        <f t="shared" si="12"/>
        <v>297.54342718307896</v>
      </c>
      <c r="W23" s="113">
        <f t="shared" si="7"/>
        <v>2.1005253543975186</v>
      </c>
      <c r="X23" s="178">
        <f>I23*(References!$C$55/References!$G$58)</f>
        <v>2.1005253543975648</v>
      </c>
      <c r="Y23" s="98">
        <f t="shared" si="8"/>
        <v>-4.6185277824406512E-14</v>
      </c>
    </row>
    <row r="24" spans="1:31">
      <c r="A24" s="65"/>
      <c r="B24" s="63"/>
      <c r="C24" s="278" t="s">
        <v>0</v>
      </c>
      <c r="D24" s="279">
        <f>SUM(D6:D23)</f>
        <v>3703.8144548701293</v>
      </c>
      <c r="E24" s="280"/>
      <c r="F24" s="279">
        <f>SUM(F6:F23)</f>
        <v>176737.61630658963</v>
      </c>
      <c r="G24" s="281"/>
      <c r="H24" s="279">
        <f>SUM(H6:H23)</f>
        <v>9064509.8914660234</v>
      </c>
      <c r="I24" s="279">
        <f>SUM(I6:I23)</f>
        <v>5974087.6349892784</v>
      </c>
      <c r="J24" s="282"/>
      <c r="K24" s="282"/>
      <c r="L24" s="283"/>
      <c r="M24" s="283"/>
      <c r="N24" s="283"/>
      <c r="O24" s="283"/>
      <c r="P24" s="282">
        <f>SUM(P6:P23)</f>
        <v>1205347.8558883406</v>
      </c>
      <c r="Q24" s="282">
        <f>SUM(Q6:Q23)</f>
        <v>1217540.33817487</v>
      </c>
      <c r="R24" s="282">
        <f>SUM(R6:R23)</f>
        <v>12192.48228652923</v>
      </c>
      <c r="S24" s="282">
        <f>SUM(S6:S23)</f>
        <v>1217540.33817487</v>
      </c>
      <c r="T24" s="282">
        <f t="shared" si="5"/>
        <v>0</v>
      </c>
      <c r="U24" s="282"/>
      <c r="V24" s="282">
        <f>SUM(V6:V23)</f>
        <v>1217541.1156801344</v>
      </c>
      <c r="W24" s="282">
        <f>SUM(W6:W23)</f>
        <v>12193.259791793615</v>
      </c>
    </row>
    <row r="25" spans="1:31" ht="15" customHeight="1">
      <c r="A25" s="267" t="s">
        <v>254</v>
      </c>
      <c r="B25" s="134">
        <v>37</v>
      </c>
      <c r="C25" s="1" t="s">
        <v>52</v>
      </c>
      <c r="D25" s="81">
        <f>+VLOOKUP(C25,'Whitman Reg - Price Out'!B:G,6,FALSE)</f>
        <v>255.90043956043959</v>
      </c>
      <c r="E25" s="90">
        <f>+References!B10</f>
        <v>4.333333333333333</v>
      </c>
      <c r="F25" s="81">
        <f>D25*E25*References!$B$50</f>
        <v>13306.822857142859</v>
      </c>
      <c r="G25" s="81">
        <f>+References!B29</f>
        <v>175</v>
      </c>
      <c r="H25" s="81">
        <f t="shared" ref="H25:H81" si="14">F25*G25</f>
        <v>2328694.0000000005</v>
      </c>
      <c r="I25" s="81">
        <f t="shared" ref="I25:I56" si="15">H25*$D$102</f>
        <v>1534757.2232417453</v>
      </c>
      <c r="J25" s="98">
        <f>I25*References!$C$55</f>
        <v>3069.5144464834934</v>
      </c>
      <c r="K25" s="98">
        <f>J25/References!$G$58</f>
        <v>3132.477238987135</v>
      </c>
      <c r="L25" s="98">
        <f>K25/F25</f>
        <v>0.2354038430222041</v>
      </c>
      <c r="M25" s="98">
        <f>+'Proposed Rates'!B35</f>
        <v>17.93</v>
      </c>
      <c r="N25" s="98">
        <f t="shared" ref="N25:N81" si="16">L25+M25</f>
        <v>18.165403843022204</v>
      </c>
      <c r="O25" s="98">
        <f>+'Proposed Rates'!D35</f>
        <v>18.165403843022204</v>
      </c>
      <c r="P25" s="98">
        <f>F25*M25</f>
        <v>238591.33382857146</v>
      </c>
      <c r="Q25" s="98">
        <f>F25*O25</f>
        <v>241723.81106755859</v>
      </c>
      <c r="R25" s="98">
        <f>Q25-P25</f>
        <v>3132.4772389871359</v>
      </c>
      <c r="S25" s="98">
        <f>F25*N25</f>
        <v>241723.81106755859</v>
      </c>
      <c r="T25" s="98">
        <f>Q25-S25</f>
        <v>0</v>
      </c>
      <c r="U25" s="113">
        <f>N25</f>
        <v>18.165403843022204</v>
      </c>
      <c r="V25" s="113">
        <f>F25*U25</f>
        <v>241723.81106755859</v>
      </c>
      <c r="W25" s="113">
        <f>V25-P25</f>
        <v>3132.4772389871359</v>
      </c>
      <c r="X25" s="178">
        <f>I25*(References!$C$55/References!$G$58)</f>
        <v>3132.4772389871346</v>
      </c>
      <c r="Y25" s="98">
        <f t="shared" ref="Y25:Y81" si="17">W25-X25</f>
        <v>0</v>
      </c>
    </row>
    <row r="26" spans="1:31" s="149" customFormat="1" ht="15" customHeight="1">
      <c r="A26" s="263"/>
      <c r="B26" s="134">
        <v>37</v>
      </c>
      <c r="C26" s="149" t="s">
        <v>459</v>
      </c>
      <c r="D26" s="81">
        <f>+VLOOKUP(C26,'Whitman Reg - Price Out'!B:G,6,FALSE)</f>
        <v>0.83333333333333337</v>
      </c>
      <c r="E26" s="90">
        <f>+References!B10</f>
        <v>4.333333333333333</v>
      </c>
      <c r="F26" s="81">
        <f>D26*E26*References!$B$50</f>
        <v>43.333333333333336</v>
      </c>
      <c r="G26" s="81">
        <f>+References!B29*2</f>
        <v>350</v>
      </c>
      <c r="H26" s="81">
        <f t="shared" ref="H26" si="18">F26*G26</f>
        <v>15166.666666666668</v>
      </c>
      <c r="I26" s="81">
        <f t="shared" si="15"/>
        <v>9995.7964503564945</v>
      </c>
      <c r="J26" s="98">
        <f>I26*References!$C$55</f>
        <v>19.991592900713005</v>
      </c>
      <c r="K26" s="98">
        <f>J26/References!$G$58</f>
        <v>20.401666395257685</v>
      </c>
      <c r="L26" s="98">
        <f>K26/(F26*2)</f>
        <v>0.23540384302220405</v>
      </c>
      <c r="M26" s="98">
        <f>+'Proposed Rates'!B35</f>
        <v>17.93</v>
      </c>
      <c r="N26" s="98">
        <f t="shared" si="16"/>
        <v>18.165403843022204</v>
      </c>
      <c r="O26" s="98">
        <f>+'Proposed Rates'!D35</f>
        <v>18.165403843022204</v>
      </c>
      <c r="P26" s="98">
        <f>F26*M26*2</f>
        <v>1553.9333333333334</v>
      </c>
      <c r="Q26" s="98">
        <f>F26*O26*2</f>
        <v>1574.3349997285911</v>
      </c>
      <c r="R26" s="98">
        <f>Q26-P26</f>
        <v>20.401666395257735</v>
      </c>
      <c r="S26" s="98">
        <f>F26*N26*2</f>
        <v>1574.3349997285911</v>
      </c>
      <c r="T26" s="98">
        <f>Q26-S26</f>
        <v>0</v>
      </c>
      <c r="U26" s="113">
        <f>N26</f>
        <v>18.165403843022204</v>
      </c>
      <c r="V26" s="113">
        <f>F26*U26*2</f>
        <v>1574.3349997285911</v>
      </c>
      <c r="W26" s="113">
        <f>V26-P26</f>
        <v>20.401666395257735</v>
      </c>
      <c r="X26" s="178">
        <f>I26*(References!$C$55/References!$G$58)</f>
        <v>20.401666395257685</v>
      </c>
      <c r="Y26" s="98">
        <f t="shared" ref="Y26" si="19">W26-X26</f>
        <v>4.9737991503207013E-14</v>
      </c>
      <c r="AA26"/>
      <c r="AB26"/>
      <c r="AC26"/>
      <c r="AD26"/>
      <c r="AE26"/>
    </row>
    <row r="27" spans="1:31" s="75" customFormat="1" ht="15" customHeight="1">
      <c r="A27" s="263"/>
      <c r="B27" s="134">
        <v>37</v>
      </c>
      <c r="C27" s="75" t="s">
        <v>345</v>
      </c>
      <c r="D27" s="81">
        <f>+VLOOKUP(C27,'Whitman Reg - Price Out'!B:G,6,FALSE)</f>
        <v>1</v>
      </c>
      <c r="E27" s="90">
        <f>+References!B12</f>
        <v>1</v>
      </c>
      <c r="F27" s="81">
        <f>D27*E27*References!$B$50</f>
        <v>12</v>
      </c>
      <c r="G27" s="81">
        <f>+References!B29</f>
        <v>175</v>
      </c>
      <c r="H27" s="81">
        <f t="shared" ref="H27" si="20">F27*G27</f>
        <v>2100</v>
      </c>
      <c r="I27" s="81">
        <f t="shared" si="15"/>
        <v>1384.0333546647453</v>
      </c>
      <c r="J27" s="98">
        <f>I27*References!$C$55</f>
        <v>2.7680667093294931</v>
      </c>
      <c r="K27" s="98">
        <f>J27/References!$G$58</f>
        <v>2.8248461162664489</v>
      </c>
      <c r="L27" s="98">
        <f t="shared" ref="L27:L55" si="21">K27/F27</f>
        <v>0.23540384302220407</v>
      </c>
      <c r="M27" s="99">
        <f>+'Proposed Rates'!B35</f>
        <v>17.93</v>
      </c>
      <c r="N27" s="99">
        <f t="shared" si="16"/>
        <v>18.165403843022204</v>
      </c>
      <c r="O27" s="99">
        <f>+'Proposed Rates'!D35</f>
        <v>18.165403843022204</v>
      </c>
      <c r="P27" s="98">
        <f t="shared" ref="P27:P81" si="22">F27*M27</f>
        <v>215.16</v>
      </c>
      <c r="Q27" s="98">
        <f t="shared" ref="Q27:Q81" si="23">F27*O27</f>
        <v>217.98484611626645</v>
      </c>
      <c r="R27" s="98">
        <f t="shared" ref="R27:R81" si="24">Q27-P27</f>
        <v>2.8248461162664569</v>
      </c>
      <c r="S27" s="98">
        <f t="shared" ref="S27:S81" si="25">F27*N27</f>
        <v>217.98484611626645</v>
      </c>
      <c r="T27" s="98">
        <f t="shared" ref="T27:T81" si="26">Q27-S27</f>
        <v>0</v>
      </c>
      <c r="U27" s="113">
        <f t="shared" ref="U27:U81" si="27">N27</f>
        <v>18.165403843022204</v>
      </c>
      <c r="V27" s="113">
        <f t="shared" ref="V27:V81" si="28">F27*U27</f>
        <v>217.98484611626645</v>
      </c>
      <c r="W27" s="113">
        <f t="shared" ref="W27:W81" si="29">V27-P27</f>
        <v>2.8248461162664569</v>
      </c>
      <c r="X27" s="178">
        <f>I27*(References!$C$55/References!$G$58)</f>
        <v>2.8248461162664484</v>
      </c>
      <c r="Y27" s="98">
        <f t="shared" si="17"/>
        <v>8.4376949871511897E-15</v>
      </c>
      <c r="AA27"/>
      <c r="AB27"/>
      <c r="AC27"/>
      <c r="AD27"/>
      <c r="AE27"/>
    </row>
    <row r="28" spans="1:31">
      <c r="A28" s="263"/>
      <c r="B28" s="134">
        <v>37</v>
      </c>
      <c r="C28" s="1" t="s">
        <v>54</v>
      </c>
      <c r="D28" s="81">
        <f>+VLOOKUP(C28,'Whitman Reg - Price Out'!B:G,6,FALSE)</f>
        <v>1</v>
      </c>
      <c r="E28" s="90">
        <f>+References!B8</f>
        <v>13</v>
      </c>
      <c r="F28" s="81">
        <f>D28*E28*References!$B$50</f>
        <v>156</v>
      </c>
      <c r="G28" s="81">
        <f>+References!B29</f>
        <v>175</v>
      </c>
      <c r="H28" s="81">
        <f t="shared" si="14"/>
        <v>27300</v>
      </c>
      <c r="I28" s="81">
        <f t="shared" si="15"/>
        <v>17992.433610641689</v>
      </c>
      <c r="J28" s="98">
        <f>I28*References!$C$55</f>
        <v>35.984867221283409</v>
      </c>
      <c r="K28" s="98">
        <f>J28/References!$G$58</f>
        <v>36.722999511463833</v>
      </c>
      <c r="L28" s="98">
        <f t="shared" si="21"/>
        <v>0.23540384302220405</v>
      </c>
      <c r="M28" s="99">
        <f>+'Proposed Rates'!B35</f>
        <v>17.93</v>
      </c>
      <c r="N28" s="99">
        <f t="shared" si="16"/>
        <v>18.165403843022204</v>
      </c>
      <c r="O28" s="99">
        <f>+'Proposed Rates'!D35</f>
        <v>18.165403843022204</v>
      </c>
      <c r="P28" s="98">
        <f t="shared" si="22"/>
        <v>2797.08</v>
      </c>
      <c r="Q28" s="98">
        <f t="shared" si="23"/>
        <v>2833.8029995114639</v>
      </c>
      <c r="R28" s="98">
        <f t="shared" si="24"/>
        <v>36.722999511463968</v>
      </c>
      <c r="S28" s="98">
        <f t="shared" si="25"/>
        <v>2833.8029995114639</v>
      </c>
      <c r="T28" s="98">
        <f t="shared" si="26"/>
        <v>0</v>
      </c>
      <c r="U28" s="113">
        <f t="shared" si="27"/>
        <v>18.165403843022204</v>
      </c>
      <c r="V28" s="113">
        <f t="shared" si="28"/>
        <v>2833.8029995114639</v>
      </c>
      <c r="W28" s="113">
        <f t="shared" si="29"/>
        <v>36.722999511463968</v>
      </c>
      <c r="X28" s="178">
        <f>I28*(References!$C$55/References!$G$58)</f>
        <v>36.722999511463833</v>
      </c>
      <c r="Y28" s="98">
        <f t="shared" si="17"/>
        <v>1.3500311979441904E-13</v>
      </c>
    </row>
    <row r="29" spans="1:31">
      <c r="A29" s="263"/>
      <c r="B29" s="134">
        <v>37</v>
      </c>
      <c r="C29" s="1" t="s">
        <v>56</v>
      </c>
      <c r="D29" s="81">
        <f>+VLOOKUP(C29,'Whitman Reg - Price Out'!B:G,6,FALSE)</f>
        <v>5.0000000000000009</v>
      </c>
      <c r="E29" s="90">
        <f>+References!B12</f>
        <v>1</v>
      </c>
      <c r="F29" s="81">
        <f>D29*E29*References!$B$50</f>
        <v>60.000000000000014</v>
      </c>
      <c r="G29" s="81">
        <f>+References!B30</f>
        <v>250</v>
      </c>
      <c r="H29" s="81">
        <f t="shared" si="14"/>
        <v>15000.000000000004</v>
      </c>
      <c r="I29" s="81">
        <f t="shared" si="15"/>
        <v>9885.9525333196107</v>
      </c>
      <c r="J29" s="98">
        <f>I29*References!$C$55</f>
        <v>19.771905066639238</v>
      </c>
      <c r="K29" s="98">
        <f>J29/References!$G$58</f>
        <v>20.177472259046063</v>
      </c>
      <c r="L29" s="98">
        <f t="shared" si="21"/>
        <v>0.33629120431743431</v>
      </c>
      <c r="M29" s="98">
        <f>+'Proposed Rates'!B36</f>
        <v>27.02</v>
      </c>
      <c r="N29" s="98">
        <f t="shared" si="16"/>
        <v>27.356291204317433</v>
      </c>
      <c r="O29" s="98">
        <f>+'Proposed Rates'!D36</f>
        <v>27.356291204317433</v>
      </c>
      <c r="P29" s="98">
        <f t="shared" si="22"/>
        <v>1621.2000000000003</v>
      </c>
      <c r="Q29" s="98">
        <f t="shared" si="23"/>
        <v>1641.3774722590463</v>
      </c>
      <c r="R29" s="98">
        <f t="shared" si="24"/>
        <v>20.177472259045999</v>
      </c>
      <c r="S29" s="98">
        <f t="shared" si="25"/>
        <v>1641.3774722590463</v>
      </c>
      <c r="T29" s="98">
        <f t="shared" si="26"/>
        <v>0</v>
      </c>
      <c r="U29" s="113">
        <f t="shared" si="27"/>
        <v>27.356291204317433</v>
      </c>
      <c r="V29" s="113">
        <f t="shared" si="28"/>
        <v>1641.3774722590463</v>
      </c>
      <c r="W29" s="113">
        <f t="shared" si="29"/>
        <v>20.177472259045999</v>
      </c>
      <c r="X29" s="178">
        <f>I29*(References!$C$55/References!$G$58)</f>
        <v>20.177472259046063</v>
      </c>
      <c r="Y29" s="98">
        <f t="shared" si="17"/>
        <v>-6.3948846218409017E-14</v>
      </c>
    </row>
    <row r="30" spans="1:31">
      <c r="A30" s="263"/>
      <c r="B30" s="134">
        <v>37</v>
      </c>
      <c r="C30" s="1" t="s">
        <v>58</v>
      </c>
      <c r="D30" s="81">
        <f>+VLOOKUP(C30,'Whitman Reg - Price Out'!B:G,6,FALSE)</f>
        <v>89.815307213688513</v>
      </c>
      <c r="E30" s="90">
        <f>+References!$B$10</f>
        <v>4.333333333333333</v>
      </c>
      <c r="F30" s="81">
        <f>D30*E30*References!$B$50</f>
        <v>4670.3959751118027</v>
      </c>
      <c r="G30" s="81">
        <f>+References!B30</f>
        <v>250</v>
      </c>
      <c r="H30" s="81">
        <f t="shared" si="14"/>
        <v>1167598.9937779508</v>
      </c>
      <c r="I30" s="81">
        <f t="shared" si="15"/>
        <v>769521.88202937064</v>
      </c>
      <c r="J30" s="98">
        <f>I30*References!$C$55</f>
        <v>1539.0437640587427</v>
      </c>
      <c r="K30" s="98">
        <f>J30/References!$G$58</f>
        <v>1570.6130871096466</v>
      </c>
      <c r="L30" s="98">
        <f t="shared" si="21"/>
        <v>0.33629120431743442</v>
      </c>
      <c r="M30" s="98">
        <f>+'Proposed Rates'!B36</f>
        <v>27.02</v>
      </c>
      <c r="N30" s="98">
        <f t="shared" si="16"/>
        <v>27.356291204317433</v>
      </c>
      <c r="O30" s="98">
        <f>+'Proposed Rates'!D36</f>
        <v>27.356291204317433</v>
      </c>
      <c r="P30" s="98">
        <f t="shared" si="22"/>
        <v>126194.09924752091</v>
      </c>
      <c r="Q30" s="98">
        <f t="shared" si="23"/>
        <v>127764.71233463055</v>
      </c>
      <c r="R30" s="98">
        <f t="shared" si="24"/>
        <v>1570.6130871096393</v>
      </c>
      <c r="S30" s="98">
        <f t="shared" si="25"/>
        <v>127764.71233463055</v>
      </c>
      <c r="T30" s="98">
        <f t="shared" si="26"/>
        <v>0</v>
      </c>
      <c r="U30" s="113">
        <f t="shared" si="27"/>
        <v>27.356291204317433</v>
      </c>
      <c r="V30" s="113">
        <f t="shared" si="28"/>
        <v>127764.71233463055</v>
      </c>
      <c r="W30" s="113">
        <f t="shared" si="29"/>
        <v>1570.6130871096393</v>
      </c>
      <c r="X30" s="178">
        <f>I30*(References!$C$55/References!$G$58)</f>
        <v>1570.6130871096464</v>
      </c>
      <c r="Y30" s="98">
        <f t="shared" si="17"/>
        <v>-7.0485839387401938E-12</v>
      </c>
    </row>
    <row r="31" spans="1:31">
      <c r="A31" s="263"/>
      <c r="B31" s="134">
        <v>37</v>
      </c>
      <c r="C31" s="1" t="s">
        <v>60</v>
      </c>
      <c r="D31" s="81">
        <f>+VLOOKUP(C31,'Whitman Reg - Price Out'!B:G,6,FALSE)</f>
        <v>1.3750020253082518</v>
      </c>
      <c r="E31" s="175">
        <f>+References!$B$10</f>
        <v>4.333333333333333</v>
      </c>
      <c r="F31" s="84">
        <f>D31*E31*References!$B$50</f>
        <v>71.500105316029092</v>
      </c>
      <c r="G31" s="84">
        <f>+References!B30*2</f>
        <v>500</v>
      </c>
      <c r="H31" s="81">
        <f t="shared" si="14"/>
        <v>35750.052658014545</v>
      </c>
      <c r="I31" s="81">
        <f t="shared" si="15"/>
        <v>23561.554909387221</v>
      </c>
      <c r="J31" s="98">
        <f>I31*References!$C$55</f>
        <v>47.123109818774488</v>
      </c>
      <c r="K31" s="98">
        <f>J31/References!$G$58</f>
        <v>48.089713051101633</v>
      </c>
      <c r="L31" s="98">
        <f>K31/(F31*2)</f>
        <v>0.33629120431743437</v>
      </c>
      <c r="M31" s="98">
        <f>+'Proposed Rates'!B36</f>
        <v>27.02</v>
      </c>
      <c r="N31" s="98">
        <f>L31+M31</f>
        <v>27.356291204317433</v>
      </c>
      <c r="O31" s="98">
        <f>+'Proposed Rates'!D36</f>
        <v>27.356291204317433</v>
      </c>
      <c r="P31" s="98">
        <f>F31*2*M31</f>
        <v>3863.8656912782121</v>
      </c>
      <c r="Q31" s="98">
        <f>F31*2*O31</f>
        <v>3911.9554043293138</v>
      </c>
      <c r="R31" s="98">
        <f t="shared" si="24"/>
        <v>48.089713051101626</v>
      </c>
      <c r="S31" s="98">
        <f>F31*2*N31</f>
        <v>3911.9554043293138</v>
      </c>
      <c r="T31" s="98">
        <f t="shared" si="26"/>
        <v>0</v>
      </c>
      <c r="U31" s="113">
        <f t="shared" si="27"/>
        <v>27.356291204317433</v>
      </c>
      <c r="V31" s="113">
        <f>F31*2*U31</f>
        <v>3911.9554043293138</v>
      </c>
      <c r="W31" s="113">
        <f t="shared" si="29"/>
        <v>48.089713051101626</v>
      </c>
      <c r="X31" s="178">
        <f>I31*(References!$C$55/References!$G$58)</f>
        <v>48.089713051101626</v>
      </c>
      <c r="Y31" s="98">
        <f t="shared" si="17"/>
        <v>0</v>
      </c>
    </row>
    <row r="32" spans="1:31">
      <c r="A32" s="263"/>
      <c r="B32" s="134">
        <v>37</v>
      </c>
      <c r="C32" s="1" t="s">
        <v>62</v>
      </c>
      <c r="D32" s="81">
        <f>+VLOOKUP(C32,'Whitman Reg - Price Out'!B:G,6,FALSE)</f>
        <v>0.83333333333333348</v>
      </c>
      <c r="E32" s="175">
        <f>+References!$B$10</f>
        <v>4.333333333333333</v>
      </c>
      <c r="F32" s="84">
        <f>D32*E32*References!$B$50</f>
        <v>43.333333333333343</v>
      </c>
      <c r="G32" s="84">
        <f>+References!B30*3</f>
        <v>750</v>
      </c>
      <c r="H32" s="81">
        <f t="shared" si="14"/>
        <v>32500.000000000007</v>
      </c>
      <c r="I32" s="81">
        <f t="shared" si="15"/>
        <v>21419.563822192493</v>
      </c>
      <c r="J32" s="98">
        <f>I32*References!$C$55</f>
        <v>42.839127644385023</v>
      </c>
      <c r="K32" s="98">
        <f>J32/References!$G$58</f>
        <v>43.71785656126648</v>
      </c>
      <c r="L32" s="98">
        <f>K32/(F32*3)</f>
        <v>0.33629120431743437</v>
      </c>
      <c r="M32" s="98">
        <f>+'Proposed Rates'!B36</f>
        <v>27.02</v>
      </c>
      <c r="N32" s="98">
        <f t="shared" si="16"/>
        <v>27.356291204317433</v>
      </c>
      <c r="O32" s="98">
        <f>+'Proposed Rates'!D36</f>
        <v>27.356291204317433</v>
      </c>
      <c r="P32" s="98">
        <f>F32*3*M32</f>
        <v>3512.6000000000008</v>
      </c>
      <c r="Q32" s="98">
        <f>F32*3*O32</f>
        <v>3556.317856561267</v>
      </c>
      <c r="R32" s="98">
        <f t="shared" si="24"/>
        <v>43.717856561266217</v>
      </c>
      <c r="S32" s="98">
        <f>F32*3*N32</f>
        <v>3556.317856561267</v>
      </c>
      <c r="T32" s="98">
        <f t="shared" si="26"/>
        <v>0</v>
      </c>
      <c r="U32" s="113">
        <f t="shared" si="27"/>
        <v>27.356291204317433</v>
      </c>
      <c r="V32" s="113">
        <f>F32*3*U32</f>
        <v>3556.317856561267</v>
      </c>
      <c r="W32" s="113">
        <f t="shared" si="29"/>
        <v>43.717856561266217</v>
      </c>
      <c r="X32" s="178">
        <f>I32*(References!$C$55/References!$G$58)</f>
        <v>43.71785656126648</v>
      </c>
      <c r="Y32" s="98">
        <f t="shared" si="17"/>
        <v>-2.6290081223123707E-13</v>
      </c>
    </row>
    <row r="33" spans="1:31">
      <c r="A33" s="263"/>
      <c r="B33" s="134">
        <v>37</v>
      </c>
      <c r="C33" s="1" t="s">
        <v>64</v>
      </c>
      <c r="D33" s="81">
        <f>+VLOOKUP(C33,'Whitman Reg - Price Out'!B:G,6,FALSE)</f>
        <v>6.6666666666666687</v>
      </c>
      <c r="E33" s="90">
        <f>+References!B9</f>
        <v>8.6666666666666661</v>
      </c>
      <c r="F33" s="81">
        <f>D33*E33*References!$B$50</f>
        <v>693.33333333333348</v>
      </c>
      <c r="G33" s="81">
        <f>+References!B30</f>
        <v>250</v>
      </c>
      <c r="H33" s="81">
        <f t="shared" si="14"/>
        <v>173333.33333333337</v>
      </c>
      <c r="I33" s="81">
        <f t="shared" si="15"/>
        <v>114237.67371835995</v>
      </c>
      <c r="J33" s="98">
        <f>I33*References!$C$55</f>
        <v>228.47534743672009</v>
      </c>
      <c r="K33" s="98">
        <f>J33/References!$G$58</f>
        <v>233.16190166008786</v>
      </c>
      <c r="L33" s="98">
        <f t="shared" si="21"/>
        <v>0.33629120431743437</v>
      </c>
      <c r="M33" s="98">
        <f>+'Proposed Rates'!B36</f>
        <v>27.02</v>
      </c>
      <c r="N33" s="98">
        <f t="shared" si="16"/>
        <v>27.356291204317433</v>
      </c>
      <c r="O33" s="98">
        <f>+'Proposed Rates'!D36</f>
        <v>27.356291204317433</v>
      </c>
      <c r="P33" s="98">
        <f t="shared" si="22"/>
        <v>18733.866666666672</v>
      </c>
      <c r="Q33" s="98">
        <f t="shared" si="23"/>
        <v>18967.028568326758</v>
      </c>
      <c r="R33" s="98">
        <f t="shared" si="24"/>
        <v>233.16190166008528</v>
      </c>
      <c r="S33" s="98">
        <f t="shared" si="25"/>
        <v>18967.028568326758</v>
      </c>
      <c r="T33" s="98">
        <f t="shared" si="26"/>
        <v>0</v>
      </c>
      <c r="U33" s="113">
        <f t="shared" si="27"/>
        <v>27.356291204317433</v>
      </c>
      <c r="V33" s="113">
        <f t="shared" si="28"/>
        <v>18967.028568326758</v>
      </c>
      <c r="W33" s="113">
        <f t="shared" si="29"/>
        <v>233.16190166008528</v>
      </c>
      <c r="X33" s="178">
        <f>I33*(References!$C$55/References!$G$58)</f>
        <v>233.16190166008786</v>
      </c>
      <c r="Y33" s="98">
        <f t="shared" si="17"/>
        <v>-2.5863755581667647E-12</v>
      </c>
    </row>
    <row r="34" spans="1:31">
      <c r="A34" s="263"/>
      <c r="B34" s="134">
        <v>37</v>
      </c>
      <c r="C34" s="1" t="s">
        <v>66</v>
      </c>
      <c r="D34" s="81">
        <f>+VLOOKUP(C34,'Whitman Reg - Price Out'!B:G,6,FALSE)</f>
        <v>2.0000000000000004</v>
      </c>
      <c r="E34" s="90">
        <f>+References!B8</f>
        <v>13</v>
      </c>
      <c r="F34" s="81">
        <f>D34*E34*References!$B$50</f>
        <v>312.00000000000011</v>
      </c>
      <c r="G34" s="81">
        <f>+References!B30</f>
        <v>250</v>
      </c>
      <c r="H34" s="81">
        <f t="shared" si="14"/>
        <v>78000.000000000029</v>
      </c>
      <c r="I34" s="81">
        <f t="shared" si="15"/>
        <v>51406.953173261987</v>
      </c>
      <c r="J34" s="98">
        <f>I34*References!$C$55</f>
        <v>102.81390634652406</v>
      </c>
      <c r="K34" s="98">
        <f>J34/References!$G$58</f>
        <v>104.92285574703956</v>
      </c>
      <c r="L34" s="98">
        <f t="shared" si="21"/>
        <v>0.33629120431743437</v>
      </c>
      <c r="M34" s="98">
        <f>+'Proposed Rates'!B36</f>
        <v>27.02</v>
      </c>
      <c r="N34" s="98">
        <f t="shared" si="16"/>
        <v>27.356291204317433</v>
      </c>
      <c r="O34" s="98">
        <f>+'Proposed Rates'!D36</f>
        <v>27.356291204317433</v>
      </c>
      <c r="P34" s="98">
        <f t="shared" si="22"/>
        <v>8430.2400000000034</v>
      </c>
      <c r="Q34" s="98">
        <f t="shared" si="23"/>
        <v>8535.1628557470431</v>
      </c>
      <c r="R34" s="98">
        <f t="shared" si="24"/>
        <v>104.92285574703965</v>
      </c>
      <c r="S34" s="98">
        <f t="shared" si="25"/>
        <v>8535.1628557470431</v>
      </c>
      <c r="T34" s="98">
        <f t="shared" si="26"/>
        <v>0</v>
      </c>
      <c r="U34" s="113">
        <f t="shared" si="27"/>
        <v>27.356291204317433</v>
      </c>
      <c r="V34" s="113">
        <f t="shared" si="28"/>
        <v>8535.1628557470431</v>
      </c>
      <c r="W34" s="113">
        <f t="shared" si="29"/>
        <v>104.92285574703965</v>
      </c>
      <c r="X34" s="178">
        <f>I34*(References!$C$55/References!$G$58)</f>
        <v>104.92285574703955</v>
      </c>
      <c r="Y34" s="98">
        <f t="shared" si="17"/>
        <v>0</v>
      </c>
    </row>
    <row r="35" spans="1:31">
      <c r="A35" s="263"/>
      <c r="B35" s="134">
        <v>37</v>
      </c>
      <c r="C35" s="1" t="s">
        <v>68</v>
      </c>
      <c r="D35" s="81">
        <f>+VLOOKUP(C35,'Whitman Reg - Price Out'!B:G,6,FALSE)</f>
        <v>3</v>
      </c>
      <c r="E35" s="90">
        <f>+References!B12</f>
        <v>1</v>
      </c>
      <c r="F35" s="81">
        <f>D35*E35*References!$B$50</f>
        <v>36</v>
      </c>
      <c r="G35" s="81">
        <f>+References!B32</f>
        <v>324</v>
      </c>
      <c r="H35" s="81">
        <f t="shared" si="14"/>
        <v>11664</v>
      </c>
      <c r="I35" s="81">
        <f t="shared" si="15"/>
        <v>7687.3166899093285</v>
      </c>
      <c r="J35" s="98">
        <f>I35*References!$C$55</f>
        <v>15.37463337981867</v>
      </c>
      <c r="K35" s="98">
        <f>J35/References!$G$58</f>
        <v>15.690002428634218</v>
      </c>
      <c r="L35" s="98">
        <f t="shared" si="21"/>
        <v>0.43583340079539495</v>
      </c>
      <c r="M35" s="98">
        <f>+'Proposed Rates'!B37</f>
        <v>36.020000000000003</v>
      </c>
      <c r="N35" s="98">
        <f t="shared" si="16"/>
        <v>36.455833400795399</v>
      </c>
      <c r="O35" s="98">
        <f>+'Proposed Rates'!D37</f>
        <v>36.455833400795399</v>
      </c>
      <c r="P35" s="98">
        <f t="shared" si="22"/>
        <v>1296.72</v>
      </c>
      <c r="Q35" s="98">
        <f t="shared" si="23"/>
        <v>1312.4100024286345</v>
      </c>
      <c r="R35" s="98">
        <f t="shared" si="24"/>
        <v>15.690002428634443</v>
      </c>
      <c r="S35" s="98">
        <f t="shared" si="25"/>
        <v>1312.4100024286345</v>
      </c>
      <c r="T35" s="98">
        <f t="shared" si="26"/>
        <v>0</v>
      </c>
      <c r="U35" s="113">
        <f t="shared" si="27"/>
        <v>36.455833400795399</v>
      </c>
      <c r="V35" s="113">
        <f t="shared" si="28"/>
        <v>1312.4100024286345</v>
      </c>
      <c r="W35" s="113">
        <f t="shared" si="29"/>
        <v>15.690002428634443</v>
      </c>
      <c r="X35" s="178">
        <f>I35*(References!$C$55/References!$G$58)</f>
        <v>15.690002428634218</v>
      </c>
      <c r="Y35" s="98">
        <f t="shared" si="17"/>
        <v>2.2559731860383181E-13</v>
      </c>
    </row>
    <row r="36" spans="1:31">
      <c r="A36" s="263"/>
      <c r="B36" s="134">
        <v>37</v>
      </c>
      <c r="C36" s="1" t="s">
        <v>70</v>
      </c>
      <c r="D36" s="81">
        <f>+VLOOKUP(C36,'Whitman Reg - Price Out'!B:G,6,FALSE)</f>
        <v>55.268279491480108</v>
      </c>
      <c r="E36" s="90">
        <f>+References!B10</f>
        <v>4.333333333333333</v>
      </c>
      <c r="F36" s="81">
        <f>D36*E36*References!$B$50</f>
        <v>2873.9505335569656</v>
      </c>
      <c r="G36" s="81">
        <f>+References!B32</f>
        <v>324</v>
      </c>
      <c r="H36" s="81">
        <f t="shared" si="14"/>
        <v>931159.97287245688</v>
      </c>
      <c r="I36" s="81">
        <f t="shared" si="15"/>
        <v>613693.55284961895</v>
      </c>
      <c r="J36" s="98">
        <f>I36*References!$C$55</f>
        <v>1227.3871056992391</v>
      </c>
      <c r="K36" s="98">
        <f>J36/References!$G$58</f>
        <v>1252.5636347578723</v>
      </c>
      <c r="L36" s="98">
        <f t="shared" si="21"/>
        <v>0.43583340079539495</v>
      </c>
      <c r="M36" s="98">
        <f>+'Proposed Rates'!B37</f>
        <v>36.020000000000003</v>
      </c>
      <c r="N36" s="98">
        <f t="shared" si="16"/>
        <v>36.455833400795399</v>
      </c>
      <c r="O36" s="98">
        <f>+'Proposed Rates'!D37</f>
        <v>36.455833400795399</v>
      </c>
      <c r="P36" s="98">
        <f t="shared" si="22"/>
        <v>103519.69821872191</v>
      </c>
      <c r="Q36" s="98">
        <f t="shared" si="23"/>
        <v>104772.26185347978</v>
      </c>
      <c r="R36" s="98">
        <f t="shared" si="24"/>
        <v>1252.5636347578693</v>
      </c>
      <c r="S36" s="98">
        <f t="shared" si="25"/>
        <v>104772.26185347978</v>
      </c>
      <c r="T36" s="98">
        <f t="shared" si="26"/>
        <v>0</v>
      </c>
      <c r="U36" s="113">
        <f t="shared" si="27"/>
        <v>36.455833400795399</v>
      </c>
      <c r="V36" s="113">
        <f t="shared" si="28"/>
        <v>104772.26185347978</v>
      </c>
      <c r="W36" s="113">
        <f t="shared" si="29"/>
        <v>1252.5636347578693</v>
      </c>
      <c r="X36" s="178">
        <f>I36*(References!$C$55/References!$G$58)</f>
        <v>1252.5636347578723</v>
      </c>
      <c r="Y36" s="98">
        <f t="shared" si="17"/>
        <v>-2.9558577807620168E-12</v>
      </c>
    </row>
    <row r="37" spans="1:31">
      <c r="A37" s="263"/>
      <c r="B37" s="134">
        <v>37</v>
      </c>
      <c r="C37" s="1" t="s">
        <v>72</v>
      </c>
      <c r="D37" s="81">
        <f>+VLOOKUP(C37,'Whitman Reg - Price Out'!B:G,6,FALSE)</f>
        <v>2</v>
      </c>
      <c r="E37" s="90">
        <f>+References!B9</f>
        <v>8.6666666666666661</v>
      </c>
      <c r="F37" s="81">
        <f>D37*E37*References!$B$50</f>
        <v>208</v>
      </c>
      <c r="G37" s="81">
        <f>+References!B32</f>
        <v>324</v>
      </c>
      <c r="H37" s="81">
        <f t="shared" si="14"/>
        <v>67392</v>
      </c>
      <c r="I37" s="81">
        <f t="shared" si="15"/>
        <v>44415.607541698337</v>
      </c>
      <c r="J37" s="98">
        <f>I37*References!$C$55</f>
        <v>88.831215083396756</v>
      </c>
      <c r="K37" s="98">
        <f>J37/References!$G$58</f>
        <v>90.653347365442144</v>
      </c>
      <c r="L37" s="98">
        <f t="shared" si="21"/>
        <v>0.4358334007953949</v>
      </c>
      <c r="M37" s="98">
        <f>+'Proposed Rates'!B37</f>
        <v>36.020000000000003</v>
      </c>
      <c r="N37" s="98">
        <f t="shared" si="16"/>
        <v>36.455833400795399</v>
      </c>
      <c r="O37" s="98">
        <f>+'Proposed Rates'!D37</f>
        <v>36.455833400795399</v>
      </c>
      <c r="P37" s="98">
        <f t="shared" si="22"/>
        <v>7492.1600000000008</v>
      </c>
      <c r="Q37" s="98">
        <f t="shared" si="23"/>
        <v>7582.8133473654434</v>
      </c>
      <c r="R37" s="98">
        <f t="shared" si="24"/>
        <v>90.653347365442642</v>
      </c>
      <c r="S37" s="98">
        <f t="shared" si="25"/>
        <v>7582.8133473654434</v>
      </c>
      <c r="T37" s="98">
        <f t="shared" si="26"/>
        <v>0</v>
      </c>
      <c r="U37" s="113">
        <f t="shared" si="27"/>
        <v>36.455833400795399</v>
      </c>
      <c r="V37" s="113">
        <f t="shared" si="28"/>
        <v>7582.8133473654434</v>
      </c>
      <c r="W37" s="113">
        <f t="shared" si="29"/>
        <v>90.653347365442642</v>
      </c>
      <c r="X37" s="178">
        <f>I37*(References!$C$55/References!$G$58)</f>
        <v>90.65334736544213</v>
      </c>
      <c r="Y37" s="98">
        <f t="shared" si="17"/>
        <v>5.1159076974727213E-13</v>
      </c>
    </row>
    <row r="38" spans="1:31">
      <c r="A38" s="263"/>
      <c r="B38" s="134">
        <v>37</v>
      </c>
      <c r="C38" s="1" t="s">
        <v>74</v>
      </c>
      <c r="D38" s="81">
        <f>+VLOOKUP(C38,'Whitman Reg - Price Out'!B:G,6,FALSE)</f>
        <v>2.0000000000000004</v>
      </c>
      <c r="E38" s="90">
        <f>+References!B8</f>
        <v>13</v>
      </c>
      <c r="F38" s="81">
        <f>D38*E38*References!$B$50</f>
        <v>312.00000000000011</v>
      </c>
      <c r="G38" s="81">
        <f>+References!B32</f>
        <v>324</v>
      </c>
      <c r="H38" s="81">
        <f t="shared" si="14"/>
        <v>101088.00000000004</v>
      </c>
      <c r="I38" s="81">
        <f t="shared" si="15"/>
        <v>66623.411312547541</v>
      </c>
      <c r="J38" s="98">
        <f>I38*References!$C$55</f>
        <v>133.24682262509521</v>
      </c>
      <c r="K38" s="98">
        <f>J38/References!$G$58</f>
        <v>135.98002104816328</v>
      </c>
      <c r="L38" s="98">
        <f t="shared" si="21"/>
        <v>0.43583340079539495</v>
      </c>
      <c r="M38" s="98">
        <f>+'Proposed Rates'!B37</f>
        <v>36.020000000000003</v>
      </c>
      <c r="N38" s="98">
        <f t="shared" si="16"/>
        <v>36.455833400795399</v>
      </c>
      <c r="O38" s="98">
        <f>+'Proposed Rates'!D37</f>
        <v>36.455833400795399</v>
      </c>
      <c r="P38" s="98">
        <f t="shared" si="22"/>
        <v>11238.240000000005</v>
      </c>
      <c r="Q38" s="98">
        <f t="shared" si="23"/>
        <v>11374.220021048168</v>
      </c>
      <c r="R38" s="98">
        <f t="shared" si="24"/>
        <v>135.9800210481626</v>
      </c>
      <c r="S38" s="98">
        <f t="shared" si="25"/>
        <v>11374.220021048168</v>
      </c>
      <c r="T38" s="98">
        <f t="shared" si="26"/>
        <v>0</v>
      </c>
      <c r="U38" s="113">
        <f t="shared" si="27"/>
        <v>36.455833400795399</v>
      </c>
      <c r="V38" s="113">
        <f t="shared" si="28"/>
        <v>11374.220021048168</v>
      </c>
      <c r="W38" s="113">
        <f t="shared" si="29"/>
        <v>135.9800210481626</v>
      </c>
      <c r="X38" s="178">
        <f>I38*(References!$C$55/References!$G$58)</f>
        <v>135.98002104816328</v>
      </c>
      <c r="Y38" s="98">
        <f t="shared" si="17"/>
        <v>-6.8212102632969618E-13</v>
      </c>
    </row>
    <row r="39" spans="1:31">
      <c r="A39" s="263"/>
      <c r="B39" s="134">
        <v>37</v>
      </c>
      <c r="C39" s="1" t="s">
        <v>76</v>
      </c>
      <c r="D39" s="81">
        <f>+VLOOKUP(C39,'Whitman Reg - Price Out'!B:G,6,FALSE)</f>
        <v>29.500000000000004</v>
      </c>
      <c r="E39" s="90">
        <f>+References!B10</f>
        <v>4.333333333333333</v>
      </c>
      <c r="F39" s="81">
        <f>D39*E39*References!$B$50</f>
        <v>1534</v>
      </c>
      <c r="G39" s="81">
        <f>+References!B33</f>
        <v>473</v>
      </c>
      <c r="H39" s="81">
        <f t="shared" si="14"/>
        <v>725582</v>
      </c>
      <c r="I39" s="81">
        <f t="shared" si="15"/>
        <v>478204.61406874057</v>
      </c>
      <c r="J39" s="98">
        <f>I39*References!$C$55</f>
        <v>956.40922813748205</v>
      </c>
      <c r="K39" s="98">
        <f>J39/References!$G$58</f>
        <v>976.02737844421074</v>
      </c>
      <c r="L39" s="98">
        <f t="shared" si="21"/>
        <v>0.63626295856858583</v>
      </c>
      <c r="M39" s="98">
        <f>+'Proposed Rates'!B38</f>
        <v>50.94</v>
      </c>
      <c r="N39" s="98">
        <f t="shared" si="16"/>
        <v>51.576262958568584</v>
      </c>
      <c r="O39" s="98">
        <f>+'Proposed Rates'!D38</f>
        <v>51.576262958568584</v>
      </c>
      <c r="P39" s="98">
        <f t="shared" si="22"/>
        <v>78141.959999999992</v>
      </c>
      <c r="Q39" s="98">
        <f t="shared" si="23"/>
        <v>79117.987378444202</v>
      </c>
      <c r="R39" s="98">
        <f t="shared" si="24"/>
        <v>976.02737844421063</v>
      </c>
      <c r="S39" s="98">
        <f t="shared" si="25"/>
        <v>79117.987378444202</v>
      </c>
      <c r="T39" s="98">
        <f t="shared" si="26"/>
        <v>0</v>
      </c>
      <c r="U39" s="113">
        <f t="shared" si="27"/>
        <v>51.576262958568584</v>
      </c>
      <c r="V39" s="113">
        <f t="shared" si="28"/>
        <v>79117.987378444202</v>
      </c>
      <c r="W39" s="113">
        <f t="shared" si="29"/>
        <v>976.02737844421063</v>
      </c>
      <c r="X39" s="178">
        <f>I39*(References!$C$55/References!$G$58)</f>
        <v>976.02737844421063</v>
      </c>
      <c r="Y39" s="98">
        <f t="shared" si="17"/>
        <v>0</v>
      </c>
    </row>
    <row r="40" spans="1:31">
      <c r="A40" s="263"/>
      <c r="B40" s="134">
        <v>37</v>
      </c>
      <c r="C40" s="1" t="s">
        <v>78</v>
      </c>
      <c r="D40" s="81">
        <f>+VLOOKUP(C40,'Whitman Reg - Price Out'!B:G,6,FALSE)</f>
        <v>1.4583322589794498</v>
      </c>
      <c r="E40" s="175">
        <f>+References!$B$10</f>
        <v>4.333333333333333</v>
      </c>
      <c r="F40" s="84">
        <f>D40*E40*References!$B$50</f>
        <v>75.833277466931392</v>
      </c>
      <c r="G40" s="84">
        <f>+References!B33*2</f>
        <v>946</v>
      </c>
      <c r="H40" s="81">
        <f t="shared" si="14"/>
        <v>71738.280483717099</v>
      </c>
      <c r="I40" s="81">
        <f t="shared" si="15"/>
        <v>47280.082378933046</v>
      </c>
      <c r="J40" s="98">
        <f>I40*References!$C$55</f>
        <v>94.560164757866175</v>
      </c>
      <c r="K40" s="98">
        <f>J40/References!$G$58</f>
        <v>96.499810958124485</v>
      </c>
      <c r="L40" s="98">
        <f>K40/(F40*2)</f>
        <v>0.63626295856858583</v>
      </c>
      <c r="M40" s="98">
        <f>+'Proposed Rates'!B38</f>
        <v>50.94</v>
      </c>
      <c r="N40" s="98">
        <f t="shared" si="16"/>
        <v>51.576262958568584</v>
      </c>
      <c r="O40" s="98">
        <f>+'Proposed Rates'!D38</f>
        <v>51.576262958568584</v>
      </c>
      <c r="P40" s="98">
        <f>(F40*2)*M40</f>
        <v>7725.8943083309696</v>
      </c>
      <c r="Q40" s="98">
        <f>(F40*2)*O40</f>
        <v>7822.3941192890943</v>
      </c>
      <c r="R40" s="98">
        <f t="shared" si="24"/>
        <v>96.499810958124726</v>
      </c>
      <c r="S40" s="98">
        <f>(F40*2)*N40</f>
        <v>7822.3941192890943</v>
      </c>
      <c r="T40" s="98">
        <f t="shared" si="26"/>
        <v>0</v>
      </c>
      <c r="U40" s="113">
        <f t="shared" si="27"/>
        <v>51.576262958568584</v>
      </c>
      <c r="V40" s="113">
        <f>F40*2*U40</f>
        <v>7822.3941192890943</v>
      </c>
      <c r="W40" s="113">
        <f>V40-P40</f>
        <v>96.499810958124726</v>
      </c>
      <c r="X40" s="178">
        <f>I40*(References!$C$55/References!$G$58)</f>
        <v>96.499810958124471</v>
      </c>
      <c r="Y40" s="98">
        <f t="shared" si="17"/>
        <v>2.5579538487363607E-13</v>
      </c>
    </row>
    <row r="41" spans="1:31">
      <c r="A41" s="263"/>
      <c r="B41" s="134">
        <v>37</v>
      </c>
      <c r="C41" s="1" t="s">
        <v>80</v>
      </c>
      <c r="D41" s="81">
        <f>+VLOOKUP(C41,'Whitman Reg - Price Out'!B:G,6,FALSE)</f>
        <v>5.0000000000000009</v>
      </c>
      <c r="E41" s="90">
        <f>+References!$B$9</f>
        <v>8.6666666666666661</v>
      </c>
      <c r="F41" s="81">
        <f>D41*E41*References!$B$50</f>
        <v>520</v>
      </c>
      <c r="G41" s="81">
        <f>+References!B33</f>
        <v>473</v>
      </c>
      <c r="H41" s="81">
        <f t="shared" si="14"/>
        <v>245960</v>
      </c>
      <c r="I41" s="81">
        <f t="shared" si="15"/>
        <v>162103.25900635275</v>
      </c>
      <c r="J41" s="98">
        <f>I41*References!$C$55</f>
        <v>324.20651801270577</v>
      </c>
      <c r="K41" s="98">
        <f>J41/References!$G$58</f>
        <v>330.85673845566464</v>
      </c>
      <c r="L41" s="98">
        <f t="shared" si="21"/>
        <v>0.63626295856858583</v>
      </c>
      <c r="M41" s="98">
        <f>+'Proposed Rates'!B38</f>
        <v>50.94</v>
      </c>
      <c r="N41" s="98">
        <f t="shared" si="16"/>
        <v>51.576262958568584</v>
      </c>
      <c r="O41" s="98">
        <f>+'Proposed Rates'!D38</f>
        <v>51.576262958568584</v>
      </c>
      <c r="P41" s="98">
        <f t="shared" si="22"/>
        <v>26488.799999999999</v>
      </c>
      <c r="Q41" s="98">
        <f t="shared" si="23"/>
        <v>26819.656738455666</v>
      </c>
      <c r="R41" s="98">
        <f t="shared" si="24"/>
        <v>330.85673845566635</v>
      </c>
      <c r="S41" s="98">
        <f t="shared" si="25"/>
        <v>26819.656738455666</v>
      </c>
      <c r="T41" s="98">
        <f t="shared" si="26"/>
        <v>0</v>
      </c>
      <c r="U41" s="113">
        <f t="shared" si="27"/>
        <v>51.576262958568584</v>
      </c>
      <c r="V41" s="113">
        <f t="shared" si="28"/>
        <v>26819.656738455666</v>
      </c>
      <c r="W41" s="113">
        <f t="shared" si="29"/>
        <v>330.85673845566635</v>
      </c>
      <c r="X41" s="178">
        <f>I41*(References!$C$55/References!$G$58)</f>
        <v>330.85673845566464</v>
      </c>
      <c r="Y41" s="98">
        <f t="shared" si="17"/>
        <v>1.7053025658242404E-12</v>
      </c>
    </row>
    <row r="42" spans="1:31">
      <c r="A42" s="263"/>
      <c r="B42" s="134">
        <v>37</v>
      </c>
      <c r="C42" s="1" t="s">
        <v>82</v>
      </c>
      <c r="D42" s="81">
        <f>+VLOOKUP(C42,'Whitman Reg - Price Out'!B:G,6,FALSE)</f>
        <v>1</v>
      </c>
      <c r="E42" s="90">
        <f>+References!B8</f>
        <v>13</v>
      </c>
      <c r="F42" s="81">
        <f>D42*E42*References!$B$50</f>
        <v>156</v>
      </c>
      <c r="G42" s="81">
        <f>+References!B33</f>
        <v>473</v>
      </c>
      <c r="H42" s="81">
        <f t="shared" si="14"/>
        <v>73788</v>
      </c>
      <c r="I42" s="81">
        <f t="shared" si="15"/>
        <v>48630.977701905824</v>
      </c>
      <c r="J42" s="98">
        <f>I42*References!$C$55</f>
        <v>97.26195540381174</v>
      </c>
      <c r="K42" s="98">
        <f>J42/References!$G$58</f>
        <v>99.257021536699398</v>
      </c>
      <c r="L42" s="98">
        <f t="shared" si="21"/>
        <v>0.63626295856858583</v>
      </c>
      <c r="M42" s="98">
        <f>+'Proposed Rates'!B38</f>
        <v>50.94</v>
      </c>
      <c r="N42" s="98">
        <f t="shared" si="16"/>
        <v>51.576262958568584</v>
      </c>
      <c r="O42" s="98">
        <f>+'Proposed Rates'!D38</f>
        <v>51.576262958568584</v>
      </c>
      <c r="P42" s="98">
        <f t="shared" si="22"/>
        <v>7946.6399999999994</v>
      </c>
      <c r="Q42" s="98">
        <f t="shared" si="23"/>
        <v>8045.897021536699</v>
      </c>
      <c r="R42" s="98">
        <f t="shared" si="24"/>
        <v>99.25702153669954</v>
      </c>
      <c r="S42" s="98">
        <f t="shared" si="25"/>
        <v>8045.897021536699</v>
      </c>
      <c r="T42" s="98">
        <f t="shared" si="26"/>
        <v>0</v>
      </c>
      <c r="U42" s="113">
        <f t="shared" si="27"/>
        <v>51.576262958568584</v>
      </c>
      <c r="V42" s="113">
        <f t="shared" si="28"/>
        <v>8045.897021536699</v>
      </c>
      <c r="W42" s="113">
        <f t="shared" si="29"/>
        <v>99.25702153669954</v>
      </c>
      <c r="X42" s="178">
        <f>I42*(References!$C$55/References!$G$58)</f>
        <v>99.257021536699384</v>
      </c>
      <c r="Y42" s="98">
        <f t="shared" si="17"/>
        <v>1.5631940186722204E-13</v>
      </c>
    </row>
    <row r="43" spans="1:31" s="149" customFormat="1">
      <c r="A43" s="263"/>
      <c r="B43" s="134">
        <v>37</v>
      </c>
      <c r="C43" s="149" t="s">
        <v>461</v>
      </c>
      <c r="D43" s="81">
        <f>+VLOOKUP(C43,'Whitman Reg - Price Out'!B:G,6,FALSE)</f>
        <v>0.79166738289643312</v>
      </c>
      <c r="E43" s="90">
        <f>+References!B8</f>
        <v>13</v>
      </c>
      <c r="F43" s="81">
        <f>D43*E43*References!$B$50</f>
        <v>123.50011173184356</v>
      </c>
      <c r="G43" s="81">
        <f>+References!B33*2</f>
        <v>946</v>
      </c>
      <c r="H43" s="81">
        <f t="shared" ref="H43" si="30">F43*G43</f>
        <v>116831.10569832401</v>
      </c>
      <c r="I43" s="81">
        <f t="shared" si="15"/>
        <v>76999.117689925159</v>
      </c>
      <c r="J43" s="98">
        <f>I43*References!$C$55</f>
        <v>153.99823537985046</v>
      </c>
      <c r="K43" s="98">
        <f>J43/References!$G$58</f>
        <v>157.15709294810742</v>
      </c>
      <c r="L43" s="98">
        <f>K43/(F43*2)</f>
        <v>0.63626295856858595</v>
      </c>
      <c r="M43" s="98">
        <f>+'Proposed Rates'!B38</f>
        <v>50.94</v>
      </c>
      <c r="N43" s="98">
        <f t="shared" si="16"/>
        <v>51.576262958568584</v>
      </c>
      <c r="O43" s="98">
        <f>+'Proposed Rates'!D38</f>
        <v>51.576262958568584</v>
      </c>
      <c r="P43" s="98">
        <f>F43*M43*2</f>
        <v>12582.191383240221</v>
      </c>
      <c r="Q43" s="98">
        <f>F43*O43*2</f>
        <v>12739.348476188328</v>
      </c>
      <c r="R43" s="98">
        <f>Q43-P43</f>
        <v>157.15709294810767</v>
      </c>
      <c r="S43" s="98">
        <f>F43*N43*2</f>
        <v>12739.348476188328</v>
      </c>
      <c r="T43" s="98">
        <f>Q43-S43</f>
        <v>0</v>
      </c>
      <c r="U43" s="113">
        <f t="shared" ref="U43" si="31">N43</f>
        <v>51.576262958568584</v>
      </c>
      <c r="V43" s="113">
        <f>F43*U43*2</f>
        <v>12739.348476188328</v>
      </c>
      <c r="W43" s="113">
        <f t="shared" ref="W43" si="32">V43-P43</f>
        <v>157.15709294810767</v>
      </c>
      <c r="X43" s="178">
        <f>I43*(References!$C$55/References!$G$58)</f>
        <v>157.15709294810742</v>
      </c>
      <c r="Y43" s="98">
        <f>W43-X43</f>
        <v>2.5579538487363607E-13</v>
      </c>
      <c r="AA43"/>
      <c r="AB43"/>
      <c r="AC43"/>
      <c r="AD43"/>
      <c r="AE43"/>
    </row>
    <row r="44" spans="1:31">
      <c r="A44" s="263"/>
      <c r="B44" s="134">
        <v>37</v>
      </c>
      <c r="C44" s="1" t="s">
        <v>84</v>
      </c>
      <c r="D44" s="81">
        <f>+VLOOKUP(C44,'Whitman Reg - Price Out'!B:G,6,FALSE)</f>
        <v>13.93752426807486</v>
      </c>
      <c r="E44" s="90">
        <f>+References!B10</f>
        <v>4.333333333333333</v>
      </c>
      <c r="F44" s="81">
        <f>D44*E44*References!$B$50</f>
        <v>724.75126193989263</v>
      </c>
      <c r="G44" s="81">
        <f>+References!B35</f>
        <v>613</v>
      </c>
      <c r="H44" s="81">
        <f t="shared" si="14"/>
        <v>444272.5235691542</v>
      </c>
      <c r="I44" s="81">
        <f t="shared" si="15"/>
        <v>292803.80532418506</v>
      </c>
      <c r="J44" s="98">
        <f>I44*References!$C$55</f>
        <v>585.60761064837061</v>
      </c>
      <c r="K44" s="98">
        <f>J44/References!$G$58</f>
        <v>597.61976798486648</v>
      </c>
      <c r="L44" s="98">
        <f t="shared" si="21"/>
        <v>0.82458603298634914</v>
      </c>
      <c r="M44" s="98">
        <f>+'Proposed Rates'!B39</f>
        <v>67.650000000000006</v>
      </c>
      <c r="N44" s="98">
        <f t="shared" si="16"/>
        <v>68.474586032986352</v>
      </c>
      <c r="O44" s="98">
        <f>+'Proposed Rates'!D39</f>
        <v>68.474586032986352</v>
      </c>
      <c r="P44" s="98">
        <f t="shared" si="22"/>
        <v>49029.422870233742</v>
      </c>
      <c r="Q44" s="98">
        <f t="shared" si="23"/>
        <v>49627.042638218605</v>
      </c>
      <c r="R44" s="98">
        <f t="shared" si="24"/>
        <v>597.61976798486285</v>
      </c>
      <c r="S44" s="98">
        <f t="shared" si="25"/>
        <v>49627.042638218605</v>
      </c>
      <c r="T44" s="98">
        <f t="shared" si="26"/>
        <v>0</v>
      </c>
      <c r="U44" s="113">
        <f t="shared" si="27"/>
        <v>68.474586032986352</v>
      </c>
      <c r="V44" s="113">
        <f t="shared" si="28"/>
        <v>49627.042638218605</v>
      </c>
      <c r="W44" s="113">
        <f t="shared" si="29"/>
        <v>597.61976798486285</v>
      </c>
      <c r="X44" s="178">
        <f>I44*(References!$C$55/References!$G$58)</f>
        <v>597.61976798486637</v>
      </c>
      <c r="Y44" s="98">
        <f t="shared" si="17"/>
        <v>-3.5242919693700969E-12</v>
      </c>
    </row>
    <row r="45" spans="1:31">
      <c r="A45" s="263"/>
      <c r="B45" s="134">
        <v>37</v>
      </c>
      <c r="C45" s="1" t="s">
        <v>86</v>
      </c>
      <c r="D45" s="81">
        <f>+VLOOKUP(C45,'Whitman Reg - Price Out'!B:G,6,FALSE)</f>
        <v>3.083334951173581</v>
      </c>
      <c r="E45" s="175">
        <f>+References!$B$10</f>
        <v>4.333333333333333</v>
      </c>
      <c r="F45" s="84">
        <f>D45*E45*References!$B$50</f>
        <v>160.33341746102619</v>
      </c>
      <c r="G45" s="84">
        <f>+References!B35*2</f>
        <v>1226</v>
      </c>
      <c r="H45" s="81">
        <f t="shared" si="14"/>
        <v>196568.76980721811</v>
      </c>
      <c r="I45" s="81">
        <f t="shared" si="15"/>
        <v>129551.30185647913</v>
      </c>
      <c r="J45" s="98">
        <f>I45*References!$C$55</f>
        <v>259.10260371295851</v>
      </c>
      <c r="K45" s="98">
        <f>J45/References!$G$58</f>
        <v>264.41739331866364</v>
      </c>
      <c r="L45" s="98">
        <f>K45/(F45*2)</f>
        <v>0.82458603298634914</v>
      </c>
      <c r="M45" s="98">
        <f>+'Proposed Rates'!B39</f>
        <v>67.650000000000006</v>
      </c>
      <c r="N45" s="98">
        <f t="shared" si="16"/>
        <v>68.474586032986352</v>
      </c>
      <c r="O45" s="98">
        <f>+'Proposed Rates'!D39</f>
        <v>68.474586032986352</v>
      </c>
      <c r="P45" s="98">
        <f>F45*2*M45</f>
        <v>21693.111382476844</v>
      </c>
      <c r="Q45" s="98">
        <f>F45*2*O45</f>
        <v>21957.528775795508</v>
      </c>
      <c r="R45" s="98">
        <f t="shared" si="24"/>
        <v>264.41739331866484</v>
      </c>
      <c r="S45" s="98">
        <f>F45*2*N45</f>
        <v>21957.528775795508</v>
      </c>
      <c r="T45" s="98">
        <f t="shared" si="26"/>
        <v>0</v>
      </c>
      <c r="U45" s="113">
        <f t="shared" si="27"/>
        <v>68.474586032986352</v>
      </c>
      <c r="V45" s="113">
        <f>F45*2*U45</f>
        <v>21957.528775795508</v>
      </c>
      <c r="W45" s="113">
        <f t="shared" si="29"/>
        <v>264.41739331866484</v>
      </c>
      <c r="X45" s="178">
        <f>I45*(References!$C$55/References!$G$58)</f>
        <v>264.41739331866358</v>
      </c>
      <c r="Y45" s="98">
        <f t="shared" si="17"/>
        <v>1.2505552149377763E-12</v>
      </c>
    </row>
    <row r="46" spans="1:31" s="149" customFormat="1">
      <c r="A46" s="263"/>
      <c r="B46" s="134">
        <v>37</v>
      </c>
      <c r="C46" s="149" t="s">
        <v>463</v>
      </c>
      <c r="D46" s="81">
        <f>+VLOOKUP(C46,'Whitman Reg - Price Out'!B:G,6,FALSE)</f>
        <v>0.83333333333333337</v>
      </c>
      <c r="E46" s="175">
        <f>+References!$B$9</f>
        <v>8.6666666666666661</v>
      </c>
      <c r="F46" s="84">
        <f>D46*E46*References!$B$50</f>
        <v>86.666666666666671</v>
      </c>
      <c r="G46" s="81">
        <f>+References!B35</f>
        <v>613</v>
      </c>
      <c r="H46" s="81">
        <f t="shared" ref="H46" si="33">F46*G46</f>
        <v>53126.666666666672</v>
      </c>
      <c r="I46" s="81">
        <f t="shared" si="15"/>
        <v>35013.846994677318</v>
      </c>
      <c r="J46" s="98">
        <f>I46*References!$C$55</f>
        <v>70.027693989354702</v>
      </c>
      <c r="K46" s="98">
        <f>J46/References!$G$58</f>
        <v>71.464122858816921</v>
      </c>
      <c r="L46" s="98">
        <f>K46/(F46)</f>
        <v>0.82458603298634903</v>
      </c>
      <c r="M46" s="98">
        <f>+'Proposed Rates'!B39</f>
        <v>67.650000000000006</v>
      </c>
      <c r="N46" s="98">
        <f t="shared" si="16"/>
        <v>68.474586032986352</v>
      </c>
      <c r="O46" s="98">
        <f>+'Proposed Rates'!D39</f>
        <v>68.474586032986352</v>
      </c>
      <c r="P46" s="98">
        <f>F46*M46</f>
        <v>5863.0000000000009</v>
      </c>
      <c r="Q46" s="98">
        <f>F46*O46</f>
        <v>5934.4641228588171</v>
      </c>
      <c r="R46" s="98">
        <f>Q46-P46</f>
        <v>71.464122858816154</v>
      </c>
      <c r="S46" s="98">
        <f>F46*N46</f>
        <v>5934.4641228588171</v>
      </c>
      <c r="T46" s="98">
        <f t="shared" ref="T46" si="34">Q46-S46</f>
        <v>0</v>
      </c>
      <c r="U46" s="113">
        <f t="shared" ref="U46" si="35">N46</f>
        <v>68.474586032986352</v>
      </c>
      <c r="V46" s="113">
        <f>F46*U46</f>
        <v>5934.4641228588171</v>
      </c>
      <c r="W46" s="113">
        <f t="shared" ref="W46" si="36">V46-P46</f>
        <v>71.464122858816154</v>
      </c>
      <c r="X46" s="178">
        <f>I46*(References!$C$55/References!$G$58)</f>
        <v>71.464122858816921</v>
      </c>
      <c r="Y46" s="98">
        <f t="shared" ref="Y46" si="37">W46-X46</f>
        <v>-7.673861546209082E-13</v>
      </c>
      <c r="AA46"/>
      <c r="AB46"/>
      <c r="AC46"/>
      <c r="AD46"/>
      <c r="AE46"/>
    </row>
    <row r="47" spans="1:31">
      <c r="A47" s="263"/>
      <c r="B47" s="134">
        <v>37</v>
      </c>
      <c r="C47" s="1" t="s">
        <v>88</v>
      </c>
      <c r="D47" s="81">
        <f>+VLOOKUP(C47,'Whitman Reg - Price Out'!B:G,6,FALSE)</f>
        <v>1</v>
      </c>
      <c r="E47" s="90">
        <f>+References!B8</f>
        <v>13</v>
      </c>
      <c r="F47" s="81">
        <f>D47*E47*References!$B$50</f>
        <v>156</v>
      </c>
      <c r="G47" s="81">
        <f>+References!B35</f>
        <v>613</v>
      </c>
      <c r="H47" s="81">
        <f t="shared" si="14"/>
        <v>95628</v>
      </c>
      <c r="I47" s="81">
        <f t="shared" si="15"/>
        <v>63024.92459041917</v>
      </c>
      <c r="J47" s="98">
        <f>I47*References!$C$55</f>
        <v>126.04984918083845</v>
      </c>
      <c r="K47" s="98">
        <f>J47/References!$G$58</f>
        <v>128.63542114587045</v>
      </c>
      <c r="L47" s="98">
        <f t="shared" si="21"/>
        <v>0.82458603298634903</v>
      </c>
      <c r="M47" s="98">
        <f>+'Proposed Rates'!B39</f>
        <v>67.650000000000006</v>
      </c>
      <c r="N47" s="98">
        <f t="shared" si="16"/>
        <v>68.474586032986352</v>
      </c>
      <c r="O47" s="98">
        <f>+'Proposed Rates'!D39</f>
        <v>68.474586032986352</v>
      </c>
      <c r="P47" s="98">
        <f t="shared" si="22"/>
        <v>10553.400000000001</v>
      </c>
      <c r="Q47" s="98">
        <f t="shared" si="23"/>
        <v>10682.035421145871</v>
      </c>
      <c r="R47" s="98">
        <f t="shared" si="24"/>
        <v>128.63542114586926</v>
      </c>
      <c r="S47" s="98">
        <f t="shared" si="25"/>
        <v>10682.035421145871</v>
      </c>
      <c r="T47" s="98">
        <f t="shared" si="26"/>
        <v>0</v>
      </c>
      <c r="U47" s="113">
        <f t="shared" si="27"/>
        <v>68.474586032986352</v>
      </c>
      <c r="V47" s="113">
        <f t="shared" si="28"/>
        <v>10682.035421145871</v>
      </c>
      <c r="W47" s="113">
        <f t="shared" si="29"/>
        <v>128.63542114586926</v>
      </c>
      <c r="X47" s="178">
        <f>I47*(References!$C$55/References!$G$58)</f>
        <v>128.63542114587045</v>
      </c>
      <c r="Y47" s="98">
        <f t="shared" si="17"/>
        <v>-1.1937117960769683E-12</v>
      </c>
    </row>
    <row r="48" spans="1:31">
      <c r="A48" s="263"/>
      <c r="B48" s="134">
        <v>37</v>
      </c>
      <c r="C48" s="1" t="s">
        <v>90</v>
      </c>
      <c r="D48" s="81">
        <f>+VLOOKUP(C48,'Whitman Reg - Price Out'!B:G,6,FALSE)</f>
        <v>1</v>
      </c>
      <c r="E48" s="90">
        <f>+References!B7</f>
        <v>17.333333333333332</v>
      </c>
      <c r="F48" s="81">
        <f>D48*E48*References!$B$50</f>
        <v>208</v>
      </c>
      <c r="G48" s="81">
        <f>+References!B35</f>
        <v>613</v>
      </c>
      <c r="H48" s="81">
        <f t="shared" si="14"/>
        <v>127504</v>
      </c>
      <c r="I48" s="81">
        <f t="shared" si="15"/>
        <v>84033.232787225556</v>
      </c>
      <c r="J48" s="98">
        <f>I48*References!$C$55</f>
        <v>168.06646557445126</v>
      </c>
      <c r="K48" s="98">
        <f>J48/References!$G$58</f>
        <v>171.51389486116059</v>
      </c>
      <c r="L48" s="98">
        <f t="shared" si="21"/>
        <v>0.82458603298634903</v>
      </c>
      <c r="M48" s="98">
        <f>+'Proposed Rates'!B39</f>
        <v>67.650000000000006</v>
      </c>
      <c r="N48" s="98">
        <f t="shared" si="16"/>
        <v>68.474586032986352</v>
      </c>
      <c r="O48" s="98">
        <f>+'Proposed Rates'!D39</f>
        <v>68.474586032986352</v>
      </c>
      <c r="P48" s="98">
        <f t="shared" si="22"/>
        <v>14071.2</v>
      </c>
      <c r="Q48" s="98">
        <f t="shared" si="23"/>
        <v>14242.713894861161</v>
      </c>
      <c r="R48" s="98">
        <f t="shared" si="24"/>
        <v>171.51389486116022</v>
      </c>
      <c r="S48" s="98">
        <f t="shared" si="25"/>
        <v>14242.713894861161</v>
      </c>
      <c r="T48" s="98">
        <f t="shared" si="26"/>
        <v>0</v>
      </c>
      <c r="U48" s="113">
        <f t="shared" si="27"/>
        <v>68.474586032986352</v>
      </c>
      <c r="V48" s="113">
        <f t="shared" si="28"/>
        <v>14242.713894861161</v>
      </c>
      <c r="W48" s="113">
        <f t="shared" si="29"/>
        <v>171.51389486116022</v>
      </c>
      <c r="X48" s="178">
        <f>I48*(References!$C$55/References!$G$58)</f>
        <v>171.51389486116057</v>
      </c>
      <c r="Y48" s="98">
        <f t="shared" si="17"/>
        <v>-3.4106051316484809E-13</v>
      </c>
    </row>
    <row r="49" spans="1:31">
      <c r="A49" s="263"/>
      <c r="B49" s="134">
        <v>37</v>
      </c>
      <c r="C49" s="1" t="s">
        <v>92</v>
      </c>
      <c r="D49" s="81">
        <f>+VLOOKUP(C49,'Whitman Reg - Price Out'!B:G,6,FALSE)</f>
        <v>8.916668888592632</v>
      </c>
      <c r="E49" s="90">
        <f>+References!B10</f>
        <v>4.333333333333333</v>
      </c>
      <c r="F49" s="81">
        <f>D49*E49*References!$B$50</f>
        <v>463.66678220681683</v>
      </c>
      <c r="G49" s="81">
        <f>+References!B37</f>
        <v>840</v>
      </c>
      <c r="H49" s="81">
        <f t="shared" si="14"/>
        <v>389480.09705372615</v>
      </c>
      <c r="I49" s="81">
        <f t="shared" si="15"/>
        <v>256692.1168097234</v>
      </c>
      <c r="J49" s="98">
        <f>I49*References!$C$55</f>
        <v>513.38423361944729</v>
      </c>
      <c r="K49" s="98">
        <f>J49/References!$G$58</f>
        <v>523.91492358347512</v>
      </c>
      <c r="L49" s="98">
        <f t="shared" si="21"/>
        <v>1.1299384465065794</v>
      </c>
      <c r="M49" s="98">
        <f>+'Proposed Rates'!B40</f>
        <v>98.52</v>
      </c>
      <c r="N49" s="98">
        <f t="shared" si="16"/>
        <v>99.649938446506582</v>
      </c>
      <c r="O49" s="98">
        <f>+'Proposed Rates'!D40</f>
        <v>99.649938446506582</v>
      </c>
      <c r="P49" s="98">
        <f t="shared" si="22"/>
        <v>45680.451383015592</v>
      </c>
      <c r="Q49" s="98">
        <f t="shared" si="23"/>
        <v>46204.36630659907</v>
      </c>
      <c r="R49" s="98">
        <f t="shared" si="24"/>
        <v>523.9149235834775</v>
      </c>
      <c r="S49" s="98">
        <f t="shared" si="25"/>
        <v>46204.36630659907</v>
      </c>
      <c r="T49" s="98">
        <f t="shared" si="26"/>
        <v>0</v>
      </c>
      <c r="U49" s="113">
        <f t="shared" si="27"/>
        <v>99.649938446506582</v>
      </c>
      <c r="V49" s="113">
        <f t="shared" si="28"/>
        <v>46204.36630659907</v>
      </c>
      <c r="W49" s="113">
        <f t="shared" si="29"/>
        <v>523.9149235834775</v>
      </c>
      <c r="X49" s="178">
        <f>I49*(References!$C$55/References!$G$58)</f>
        <v>523.91492358347512</v>
      </c>
      <c r="Y49" s="98">
        <f t="shared" si="17"/>
        <v>2.3874235921539366E-12</v>
      </c>
    </row>
    <row r="50" spans="1:31">
      <c r="A50" s="263"/>
      <c r="B50" s="134">
        <v>37</v>
      </c>
      <c r="C50" s="1" t="s">
        <v>94</v>
      </c>
      <c r="D50" s="81">
        <f>+VLOOKUP(C50,'Whitman Reg - Price Out'!B:G,6,FALSE)</f>
        <v>0.83333333333333315</v>
      </c>
      <c r="E50" s="175">
        <f>+References!$B$10</f>
        <v>4.333333333333333</v>
      </c>
      <c r="F50" s="84">
        <f>D50*E50*References!$B$50</f>
        <v>43.333333333333321</v>
      </c>
      <c r="G50" s="84">
        <f>+References!B37*2</f>
        <v>1680</v>
      </c>
      <c r="H50" s="81">
        <f t="shared" si="14"/>
        <v>72799.999999999985</v>
      </c>
      <c r="I50" s="81">
        <f t="shared" si="15"/>
        <v>47979.822961711157</v>
      </c>
      <c r="J50" s="98">
        <f>I50*References!$C$55</f>
        <v>95.9596459234224</v>
      </c>
      <c r="K50" s="98">
        <f>J50/References!$G$58</f>
        <v>97.927998697236859</v>
      </c>
      <c r="L50" s="98">
        <f>K50/(F50*2)</f>
        <v>1.1299384465065794</v>
      </c>
      <c r="M50" s="98">
        <f>+'Proposed Rates'!B40</f>
        <v>98.52</v>
      </c>
      <c r="N50" s="98">
        <f t="shared" si="16"/>
        <v>99.649938446506582</v>
      </c>
      <c r="O50" s="98">
        <f>+'Proposed Rates'!D40</f>
        <v>99.649938446506582</v>
      </c>
      <c r="P50" s="98">
        <f>F50*2*M50</f>
        <v>8538.3999999999978</v>
      </c>
      <c r="Q50" s="98">
        <f>F50*2*O50</f>
        <v>8636.3279986972339</v>
      </c>
      <c r="R50" s="98">
        <f t="shared" si="24"/>
        <v>97.927998697236035</v>
      </c>
      <c r="S50" s="98">
        <f>F50*2*N50</f>
        <v>8636.3279986972339</v>
      </c>
      <c r="T50" s="98">
        <f t="shared" si="26"/>
        <v>0</v>
      </c>
      <c r="U50" s="113">
        <f t="shared" si="27"/>
        <v>99.649938446506582</v>
      </c>
      <c r="V50" s="113">
        <f>F50*2*U50</f>
        <v>8636.3279986972339</v>
      </c>
      <c r="W50" s="113">
        <f t="shared" si="29"/>
        <v>97.927998697236035</v>
      </c>
      <c r="X50" s="178">
        <f>I50*(References!$C$55/References!$G$58)</f>
        <v>97.927998697236859</v>
      </c>
      <c r="Y50" s="98">
        <f t="shared" si="17"/>
        <v>-8.2422957348171622E-13</v>
      </c>
    </row>
    <row r="51" spans="1:31">
      <c r="A51" s="263"/>
      <c r="B51" s="134">
        <v>37</v>
      </c>
      <c r="C51" s="1" t="s">
        <v>96</v>
      </c>
      <c r="D51" s="81">
        <f>+VLOOKUP(C51,'Whitman Reg - Price Out'!B:G,6,FALSE)</f>
        <v>1</v>
      </c>
      <c r="E51" s="90">
        <f>+References!B9</f>
        <v>8.6666666666666661</v>
      </c>
      <c r="F51" s="81">
        <f>D51*E51*References!$B$50</f>
        <v>104</v>
      </c>
      <c r="G51" s="81">
        <f>+References!B37</f>
        <v>840</v>
      </c>
      <c r="H51" s="81">
        <f t="shared" si="14"/>
        <v>87360</v>
      </c>
      <c r="I51" s="81">
        <f t="shared" si="15"/>
        <v>57575.787554053401</v>
      </c>
      <c r="J51" s="98">
        <f>I51*References!$C$55</f>
        <v>115.1515751081069</v>
      </c>
      <c r="K51" s="98">
        <f>J51/References!$G$58</f>
        <v>117.51359843668425</v>
      </c>
      <c r="L51" s="98">
        <f t="shared" si="21"/>
        <v>1.1299384465065794</v>
      </c>
      <c r="M51" s="98">
        <f>+'Proposed Rates'!B40</f>
        <v>98.52</v>
      </c>
      <c r="N51" s="98">
        <f t="shared" si="16"/>
        <v>99.649938446506582</v>
      </c>
      <c r="O51" s="98">
        <f>+'Proposed Rates'!D40</f>
        <v>99.649938446506582</v>
      </c>
      <c r="P51" s="98">
        <f t="shared" si="22"/>
        <v>10246.08</v>
      </c>
      <c r="Q51" s="98">
        <f t="shared" si="23"/>
        <v>10363.593598436684</v>
      </c>
      <c r="R51" s="98">
        <f t="shared" si="24"/>
        <v>117.51359843668433</v>
      </c>
      <c r="S51" s="98">
        <f t="shared" si="25"/>
        <v>10363.593598436684</v>
      </c>
      <c r="T51" s="98">
        <f t="shared" si="26"/>
        <v>0</v>
      </c>
      <c r="U51" s="113">
        <f t="shared" si="27"/>
        <v>99.649938446506582</v>
      </c>
      <c r="V51" s="113">
        <f t="shared" si="28"/>
        <v>10363.593598436684</v>
      </c>
      <c r="W51" s="113">
        <f t="shared" si="29"/>
        <v>117.51359843668433</v>
      </c>
      <c r="X51" s="178">
        <f>I51*(References!$C$55/References!$G$58)</f>
        <v>117.51359843668425</v>
      </c>
      <c r="Y51" s="98">
        <f t="shared" si="17"/>
        <v>0</v>
      </c>
    </row>
    <row r="52" spans="1:31">
      <c r="A52" s="263"/>
      <c r="B52" s="134">
        <v>37</v>
      </c>
      <c r="C52" s="1" t="s">
        <v>98</v>
      </c>
      <c r="D52" s="81">
        <f>+VLOOKUP(C52,'Whitman Reg - Price Out'!B:G,6,FALSE)</f>
        <v>0.99999999999999989</v>
      </c>
      <c r="E52" s="90">
        <f>+References!B7</f>
        <v>17.333333333333332</v>
      </c>
      <c r="F52" s="81">
        <f>D52*E52*References!$B$50</f>
        <v>207.99999999999994</v>
      </c>
      <c r="G52" s="81">
        <f>+References!B37</f>
        <v>840</v>
      </c>
      <c r="H52" s="81">
        <f t="shared" si="14"/>
        <v>174719.99999999994</v>
      </c>
      <c r="I52" s="81">
        <f t="shared" si="15"/>
        <v>115151.57510810677</v>
      </c>
      <c r="J52" s="98">
        <f>I52*References!$C$55</f>
        <v>230.30315021621374</v>
      </c>
      <c r="K52" s="98">
        <f>J52/References!$G$58</f>
        <v>235.02719687336844</v>
      </c>
      <c r="L52" s="98">
        <f t="shared" si="21"/>
        <v>1.1299384465065794</v>
      </c>
      <c r="M52" s="98">
        <f>+'Proposed Rates'!B40</f>
        <v>98.52</v>
      </c>
      <c r="N52" s="98">
        <f t="shared" si="16"/>
        <v>99.649938446506582</v>
      </c>
      <c r="O52" s="98">
        <f>+'Proposed Rates'!D40</f>
        <v>99.649938446506582</v>
      </c>
      <c r="P52" s="98">
        <f t="shared" si="22"/>
        <v>20492.159999999993</v>
      </c>
      <c r="Q52" s="98">
        <f t="shared" si="23"/>
        <v>20727.187196873365</v>
      </c>
      <c r="R52" s="98">
        <f t="shared" si="24"/>
        <v>235.0271968733723</v>
      </c>
      <c r="S52" s="98">
        <f t="shared" si="25"/>
        <v>20727.187196873365</v>
      </c>
      <c r="T52" s="98">
        <f t="shared" si="26"/>
        <v>0</v>
      </c>
      <c r="U52" s="113">
        <f t="shared" si="27"/>
        <v>99.649938446506582</v>
      </c>
      <c r="V52" s="113">
        <f t="shared" si="28"/>
        <v>20727.187196873365</v>
      </c>
      <c r="W52" s="113">
        <f t="shared" si="29"/>
        <v>235.0271968733723</v>
      </c>
      <c r="X52" s="178">
        <f>I52*(References!$C$55/References!$G$58)</f>
        <v>235.02719687336844</v>
      </c>
      <c r="Y52" s="98">
        <f t="shared" si="17"/>
        <v>3.865352482534945E-12</v>
      </c>
    </row>
    <row r="53" spans="1:31" s="75" customFormat="1">
      <c r="A53" s="263"/>
      <c r="B53" s="134">
        <v>37</v>
      </c>
      <c r="C53" s="75" t="s">
        <v>347</v>
      </c>
      <c r="D53" s="81">
        <f>+VLOOKUP(C53,'Whitman Reg - Price Out'!B:G,6,FALSE)</f>
        <v>0.99999999999999989</v>
      </c>
      <c r="E53" s="90">
        <f>+References!B6</f>
        <v>21.666666666666668</v>
      </c>
      <c r="F53" s="81">
        <f>D53*E53*References!$B$50</f>
        <v>260</v>
      </c>
      <c r="G53" s="81">
        <f>+References!B37</f>
        <v>840</v>
      </c>
      <c r="H53" s="81">
        <f t="shared" ref="H53" si="38">F53*G53</f>
        <v>218400</v>
      </c>
      <c r="I53" s="81">
        <f t="shared" si="15"/>
        <v>143939.46888513351</v>
      </c>
      <c r="J53" s="98">
        <f>I53*References!$C$55</f>
        <v>287.87893777026727</v>
      </c>
      <c r="K53" s="98">
        <f>J53/References!$G$58</f>
        <v>293.78399609171066</v>
      </c>
      <c r="L53" s="98">
        <f t="shared" si="21"/>
        <v>1.1299384465065794</v>
      </c>
      <c r="M53" s="98">
        <f>+'Proposed Rates'!B40</f>
        <v>98.52</v>
      </c>
      <c r="N53" s="98">
        <f t="shared" si="16"/>
        <v>99.649938446506582</v>
      </c>
      <c r="O53" s="98">
        <f>+'Proposed Rates'!D40</f>
        <v>99.649938446506582</v>
      </c>
      <c r="P53" s="98">
        <f t="shared" si="22"/>
        <v>25615.200000000001</v>
      </c>
      <c r="Q53" s="98">
        <f t="shared" si="23"/>
        <v>25908.983996091712</v>
      </c>
      <c r="R53" s="98">
        <f t="shared" si="24"/>
        <v>293.78399609171174</v>
      </c>
      <c r="S53" s="98">
        <f t="shared" si="25"/>
        <v>25908.983996091712</v>
      </c>
      <c r="T53" s="98">
        <f t="shared" si="26"/>
        <v>0</v>
      </c>
      <c r="U53" s="113">
        <f t="shared" si="27"/>
        <v>99.649938446506582</v>
      </c>
      <c r="V53" s="113">
        <f t="shared" si="28"/>
        <v>25908.983996091712</v>
      </c>
      <c r="W53" s="113">
        <f t="shared" si="29"/>
        <v>293.78399609171174</v>
      </c>
      <c r="X53" s="178">
        <f>I53*(References!$C$55/References!$G$58)</f>
        <v>293.78399609171066</v>
      </c>
      <c r="Y53" s="98">
        <f t="shared" si="17"/>
        <v>1.0800249583553523E-12</v>
      </c>
      <c r="AA53"/>
      <c r="AB53"/>
      <c r="AC53"/>
      <c r="AD53"/>
      <c r="AE53"/>
    </row>
    <row r="54" spans="1:31" ht="15" customHeight="1">
      <c r="A54" s="267" t="s">
        <v>254</v>
      </c>
      <c r="B54" s="134">
        <v>37</v>
      </c>
      <c r="C54" s="1" t="s">
        <v>100</v>
      </c>
      <c r="D54" s="81">
        <f>+VLOOKUP(C54,'Whitman Reg - Price Out'!B:G,6,FALSE)</f>
        <v>1</v>
      </c>
      <c r="E54" s="90">
        <f>+References!B10</f>
        <v>4.333333333333333</v>
      </c>
      <c r="F54" s="81">
        <f>D54*E54*References!$B$50</f>
        <v>52</v>
      </c>
      <c r="G54" s="81">
        <f>+References!B39</f>
        <v>980</v>
      </c>
      <c r="H54" s="81">
        <f t="shared" si="14"/>
        <v>50960</v>
      </c>
      <c r="I54" s="81">
        <f t="shared" si="15"/>
        <v>33585.876073197818</v>
      </c>
      <c r="J54" s="98">
        <f>I54*References!$C$55</f>
        <v>67.17175214639569</v>
      </c>
      <c r="K54" s="98">
        <f>J54/References!$G$58</f>
        <v>68.549599088065818</v>
      </c>
      <c r="L54" s="98">
        <f t="shared" si="21"/>
        <v>1.3182615209243427</v>
      </c>
      <c r="M54" s="98">
        <f>+'Proposed Rates'!B41</f>
        <v>128.22999999999999</v>
      </c>
      <c r="N54" s="98">
        <f t="shared" si="16"/>
        <v>129.54826152092434</v>
      </c>
      <c r="O54" s="98">
        <f>+'Proposed Rates'!D41</f>
        <v>129.54826152092434</v>
      </c>
      <c r="P54" s="98">
        <f t="shared" si="22"/>
        <v>6667.9599999999991</v>
      </c>
      <c r="Q54" s="98">
        <f t="shared" si="23"/>
        <v>6736.5095990880654</v>
      </c>
      <c r="R54" s="98">
        <f t="shared" si="24"/>
        <v>68.549599088066316</v>
      </c>
      <c r="S54" s="98">
        <f t="shared" si="25"/>
        <v>6736.5095990880654</v>
      </c>
      <c r="T54" s="98">
        <f t="shared" si="26"/>
        <v>0</v>
      </c>
      <c r="U54" s="113">
        <f t="shared" si="27"/>
        <v>129.54826152092434</v>
      </c>
      <c r="V54" s="113">
        <f t="shared" si="28"/>
        <v>6736.5095990880654</v>
      </c>
      <c r="W54" s="113">
        <f t="shared" si="29"/>
        <v>68.549599088066316</v>
      </c>
      <c r="X54" s="178">
        <f>I54*(References!$C$55/References!$G$58)</f>
        <v>68.549599088065818</v>
      </c>
      <c r="Y54" s="98">
        <f t="shared" si="17"/>
        <v>4.9737991503207013E-13</v>
      </c>
    </row>
    <row r="55" spans="1:31">
      <c r="A55" s="263"/>
      <c r="B55" s="134">
        <v>37</v>
      </c>
      <c r="C55" s="1" t="s">
        <v>102</v>
      </c>
      <c r="D55" s="81">
        <f>+VLOOKUP(C55,'Whitman Reg - Price Out'!B:G,6,FALSE)</f>
        <v>1</v>
      </c>
      <c r="E55" s="90">
        <f>+References!B9</f>
        <v>8.6666666666666661</v>
      </c>
      <c r="F55" s="81">
        <f>D55*E55*References!$B$50</f>
        <v>104</v>
      </c>
      <c r="G55" s="81">
        <f>+References!B39</f>
        <v>980</v>
      </c>
      <c r="H55" s="81">
        <f t="shared" si="14"/>
        <v>101920</v>
      </c>
      <c r="I55" s="81">
        <f t="shared" si="15"/>
        <v>67171.752146395636</v>
      </c>
      <c r="J55" s="98">
        <f>I55*References!$C$55</f>
        <v>134.34350429279138</v>
      </c>
      <c r="K55" s="98">
        <f>J55/References!$G$58</f>
        <v>137.09919817613164</v>
      </c>
      <c r="L55" s="98">
        <f t="shared" si="21"/>
        <v>1.3182615209243427</v>
      </c>
      <c r="M55" s="98">
        <f>+'Proposed Rates'!B41</f>
        <v>128.22999999999999</v>
      </c>
      <c r="N55" s="98">
        <f t="shared" si="16"/>
        <v>129.54826152092434</v>
      </c>
      <c r="O55" s="98">
        <f>+'Proposed Rates'!D41</f>
        <v>129.54826152092434</v>
      </c>
      <c r="P55" s="98">
        <f t="shared" si="22"/>
        <v>13335.919999999998</v>
      </c>
      <c r="Q55" s="98">
        <f t="shared" si="23"/>
        <v>13473.019198176131</v>
      </c>
      <c r="R55" s="98">
        <f t="shared" si="24"/>
        <v>137.09919817613263</v>
      </c>
      <c r="S55" s="98">
        <f t="shared" si="25"/>
        <v>13473.019198176131</v>
      </c>
      <c r="T55" s="98">
        <f t="shared" si="26"/>
        <v>0</v>
      </c>
      <c r="U55" s="113">
        <f t="shared" si="27"/>
        <v>129.54826152092434</v>
      </c>
      <c r="V55" s="113">
        <f t="shared" si="28"/>
        <v>13473.019198176131</v>
      </c>
      <c r="W55" s="113">
        <f t="shared" si="29"/>
        <v>137.09919817613263</v>
      </c>
      <c r="X55" s="178">
        <f>I55*(References!$C$55/References!$G$58)</f>
        <v>137.09919817613164</v>
      </c>
      <c r="Y55" s="98">
        <f t="shared" si="17"/>
        <v>9.9475983006414026E-13</v>
      </c>
    </row>
    <row r="56" spans="1:31">
      <c r="A56" s="263"/>
      <c r="B56" s="134">
        <v>38</v>
      </c>
      <c r="C56" s="1" t="s">
        <v>104</v>
      </c>
      <c r="D56" s="81">
        <f>+VLOOKUP(C56,'Whitman Reg - Price Out'!B:G,6,FALSE)</f>
        <v>47.812702702702701</v>
      </c>
      <c r="E56" s="90">
        <f>+References!B10</f>
        <v>4.333333333333333</v>
      </c>
      <c r="F56" s="81">
        <f>D56*E56*References!$B$50</f>
        <v>2486.2605405405402</v>
      </c>
      <c r="G56" s="84">
        <f>+References!B28</f>
        <v>29</v>
      </c>
      <c r="H56" s="84">
        <f t="shared" si="14"/>
        <v>72101.55567567567</v>
      </c>
      <c r="I56" s="81">
        <f t="shared" si="15"/>
        <v>47519.503799215381</v>
      </c>
      <c r="J56" s="98">
        <f>I56*References!$C$55</f>
        <v>95.039007598430842</v>
      </c>
      <c r="K56" s="98">
        <f>J56/References!$G$58</f>
        <v>96.988475965334061</v>
      </c>
      <c r="L56" s="98">
        <f>K56/F56*E56</f>
        <v>0.16904237870356367</v>
      </c>
      <c r="M56" s="98">
        <f>+'Proposed Rates'!B62</f>
        <v>21.06</v>
      </c>
      <c r="N56" s="98">
        <f t="shared" si="16"/>
        <v>21.229042378703561</v>
      </c>
      <c r="O56" s="98">
        <f>+'Proposed Rates'!D62</f>
        <v>21.229042378703561</v>
      </c>
      <c r="P56" s="98">
        <f>D56*M56*References!$B$50</f>
        <v>12083.226227027026</v>
      </c>
      <c r="Q56" s="98">
        <f>D56*O56*References!$B$50</f>
        <v>12180.21470299236</v>
      </c>
      <c r="R56" s="98">
        <f t="shared" si="24"/>
        <v>96.988475965334146</v>
      </c>
      <c r="S56" s="98">
        <f>D56*N56*References!$B$50</f>
        <v>12180.21470299236</v>
      </c>
      <c r="T56" s="98">
        <f t="shared" si="26"/>
        <v>0</v>
      </c>
      <c r="U56" s="113">
        <f t="shared" si="27"/>
        <v>21.229042378703561</v>
      </c>
      <c r="V56" s="113">
        <f>D56*U56*References!$B$50</f>
        <v>12180.21470299236</v>
      </c>
      <c r="W56" s="113">
        <f t="shared" si="29"/>
        <v>96.988475965334146</v>
      </c>
      <c r="X56" s="178">
        <f>I56*(References!$C$55/References!$G$58)</f>
        <v>96.988475965334061</v>
      </c>
      <c r="Y56" s="98">
        <f t="shared" si="17"/>
        <v>0</v>
      </c>
    </row>
    <row r="57" spans="1:31">
      <c r="A57" s="263"/>
      <c r="B57" s="134">
        <v>38</v>
      </c>
      <c r="C57" s="1" t="s">
        <v>106</v>
      </c>
      <c r="D57" s="81">
        <f>+VLOOKUP(C57,'Whitman Reg - Price Out'!B:G,6,FALSE)</f>
        <v>6.5208446251129182</v>
      </c>
      <c r="E57" s="175">
        <f>+References!$B$10</f>
        <v>4.333333333333333</v>
      </c>
      <c r="F57" s="84">
        <f>D57*E57*References!$B$50</f>
        <v>339.08392050587167</v>
      </c>
      <c r="G57" s="84">
        <f>+References!B28*2</f>
        <v>58</v>
      </c>
      <c r="H57" s="84">
        <f t="shared" si="14"/>
        <v>19666.867389340558</v>
      </c>
      <c r="I57" s="81">
        <f t="shared" ref="I57:I74" si="39">H57*$D$102</f>
        <v>12961.714499340806</v>
      </c>
      <c r="J57" s="98">
        <f>I57*References!$C$55</f>
        <v>25.923428998681633</v>
      </c>
      <c r="K57" s="98">
        <f>J57/References!$G$58</f>
        <v>26.455178078050448</v>
      </c>
      <c r="L57" s="98">
        <f t="shared" ref="L57:L64" si="40">K57/F57*E57</f>
        <v>0.33808475740712735</v>
      </c>
      <c r="M57" s="98">
        <f>+'Proposed Rates'!B62*2</f>
        <v>42.12</v>
      </c>
      <c r="N57" s="98">
        <f t="shared" si="16"/>
        <v>42.458084757407121</v>
      </c>
      <c r="O57" s="98">
        <f>+'Proposed Rates'!D62*2</f>
        <v>42.458084757407121</v>
      </c>
      <c r="P57" s="98">
        <f>D57*M57*References!$B$50</f>
        <v>3295.8957073170732</v>
      </c>
      <c r="Q57" s="98">
        <f>D57*O57*References!$B$50</f>
        <v>3322.3508853951234</v>
      </c>
      <c r="R57" s="98">
        <f t="shared" si="24"/>
        <v>26.455178078050267</v>
      </c>
      <c r="S57" s="98">
        <f>D57*N57*References!$B$50</f>
        <v>3322.3508853951234</v>
      </c>
      <c r="T57" s="98">
        <f t="shared" si="26"/>
        <v>0</v>
      </c>
      <c r="U57" s="113">
        <f t="shared" si="27"/>
        <v>42.458084757407121</v>
      </c>
      <c r="V57" s="113">
        <f>D57*U57*References!$B$50</f>
        <v>3322.3508853951234</v>
      </c>
      <c r="W57" s="113">
        <f t="shared" si="29"/>
        <v>26.455178078050267</v>
      </c>
      <c r="X57" s="178">
        <f>I57*(References!$C$55/References!$G$58)</f>
        <v>26.455178078050448</v>
      </c>
      <c r="Y57" s="98">
        <f t="shared" si="17"/>
        <v>-1.8118839761882555E-13</v>
      </c>
    </row>
    <row r="58" spans="1:31">
      <c r="A58" s="263"/>
      <c r="B58" s="134">
        <v>38</v>
      </c>
      <c r="C58" s="1" t="s">
        <v>108</v>
      </c>
      <c r="D58" s="81">
        <f>+VLOOKUP(C58,'Whitman Reg - Price Out'!B:G,6,FALSE)</f>
        <v>36.760026155187447</v>
      </c>
      <c r="E58" s="90">
        <f>+References!B10</f>
        <v>4.333333333333333</v>
      </c>
      <c r="F58" s="81">
        <f>D58*E58*References!$B$50</f>
        <v>1911.5213600697471</v>
      </c>
      <c r="G58" s="84">
        <f>+References!B23</f>
        <v>47</v>
      </c>
      <c r="H58" s="84">
        <f t="shared" si="14"/>
        <v>89841.503923278113</v>
      </c>
      <c r="I58" s="81">
        <f t="shared" si="39"/>
        <v>59211.256220504991</v>
      </c>
      <c r="J58" s="98">
        <f>I58*References!$C$55</f>
        <v>118.42251244101008</v>
      </c>
      <c r="K58" s="98">
        <f>J58/References!$G$58</f>
        <v>120.85163020819481</v>
      </c>
      <c r="L58" s="98">
        <f t="shared" si="40"/>
        <v>0.27396523445060317</v>
      </c>
      <c r="M58" s="98">
        <f>+'Proposed Rates'!B66</f>
        <v>39.17</v>
      </c>
      <c r="N58" s="98">
        <f t="shared" si="16"/>
        <v>39.443965234450602</v>
      </c>
      <c r="O58" s="98">
        <f>+'Proposed Rates'!D66</f>
        <v>39.443965234450602</v>
      </c>
      <c r="P58" s="98">
        <f>D58*M58*References!$B$50</f>
        <v>17278.682693984309</v>
      </c>
      <c r="Q58" s="98">
        <f>D58*O58*References!$B$50</f>
        <v>17399.5343241925</v>
      </c>
      <c r="R58" s="98">
        <f t="shared" si="24"/>
        <v>120.85163020819164</v>
      </c>
      <c r="S58" s="98">
        <f>D58*N58*References!$B$50</f>
        <v>17399.5343241925</v>
      </c>
      <c r="T58" s="98">
        <f t="shared" si="26"/>
        <v>0</v>
      </c>
      <c r="U58" s="113">
        <f t="shared" si="27"/>
        <v>39.443965234450602</v>
      </c>
      <c r="V58" s="113">
        <f>D58*U58*References!$B$50</f>
        <v>17399.5343241925</v>
      </c>
      <c r="W58" s="113">
        <f t="shared" si="29"/>
        <v>120.85163020819164</v>
      </c>
      <c r="X58" s="178">
        <f>I58*(References!$C$55/References!$G$58)</f>
        <v>120.85163020819479</v>
      </c>
      <c r="Y58" s="98">
        <f t="shared" si="17"/>
        <v>-3.1548097467748448E-12</v>
      </c>
    </row>
    <row r="59" spans="1:31" s="75" customFormat="1">
      <c r="A59" s="263"/>
      <c r="B59" s="134">
        <v>38</v>
      </c>
      <c r="C59" s="75" t="s">
        <v>351</v>
      </c>
      <c r="D59" s="81">
        <f>+VLOOKUP(C59,'Whitman Reg - Price Out'!B:G,6,FALSE)</f>
        <v>4.0000000000000009</v>
      </c>
      <c r="E59" s="175">
        <f>+References!$B$10</f>
        <v>4.333333333333333</v>
      </c>
      <c r="F59" s="84">
        <f>D59*E59*References!$B$50</f>
        <v>208.00000000000003</v>
      </c>
      <c r="G59" s="84">
        <f>+References!B23*2</f>
        <v>94</v>
      </c>
      <c r="H59" s="84">
        <f t="shared" ref="H59" si="41">F59*G59</f>
        <v>19552.000000000004</v>
      </c>
      <c r="I59" s="81">
        <f t="shared" si="39"/>
        <v>12886.009595431002</v>
      </c>
      <c r="J59" s="98">
        <f>I59*References!$C$55</f>
        <v>25.772019190862025</v>
      </c>
      <c r="K59" s="98">
        <f>J59/References!$G$58</f>
        <v>26.300662507257908</v>
      </c>
      <c r="L59" s="98">
        <f t="shared" si="40"/>
        <v>0.54793046890120634</v>
      </c>
      <c r="M59" s="98">
        <f>+'Proposed Rates'!B66*2</f>
        <v>78.34</v>
      </c>
      <c r="N59" s="98">
        <f t="shared" si="16"/>
        <v>78.887930468901203</v>
      </c>
      <c r="O59" s="98">
        <f>+'Proposed Rates'!D66*2</f>
        <v>78.887930468901203</v>
      </c>
      <c r="P59" s="98">
        <f>D59*M59*References!$B$50</f>
        <v>3760.3200000000006</v>
      </c>
      <c r="Q59" s="98">
        <f>D59*O59*References!$B$50</f>
        <v>3786.6206625072582</v>
      </c>
      <c r="R59" s="98">
        <f t="shared" si="24"/>
        <v>26.300662507257584</v>
      </c>
      <c r="S59" s="98">
        <f>D59*N59*References!$B$50</f>
        <v>3786.6206625072582</v>
      </c>
      <c r="T59" s="98">
        <f t="shared" si="26"/>
        <v>0</v>
      </c>
      <c r="U59" s="113">
        <f t="shared" si="27"/>
        <v>78.887930468901203</v>
      </c>
      <c r="V59" s="113">
        <f>D59*U59*References!$B$50</f>
        <v>3786.6206625072582</v>
      </c>
      <c r="W59" s="113">
        <f t="shared" si="29"/>
        <v>26.300662507257584</v>
      </c>
      <c r="X59" s="178">
        <f>I59*(References!$C$55/References!$G$58)</f>
        <v>26.300662507257908</v>
      </c>
      <c r="Y59" s="98">
        <f t="shared" si="17"/>
        <v>-3.2329694477084558E-13</v>
      </c>
      <c r="AA59"/>
      <c r="AB59"/>
      <c r="AC59"/>
      <c r="AD59"/>
      <c r="AE59"/>
    </row>
    <row r="60" spans="1:31">
      <c r="A60" s="263"/>
      <c r="B60" s="134">
        <v>38</v>
      </c>
      <c r="C60" s="1" t="s">
        <v>110</v>
      </c>
      <c r="D60" s="81">
        <f>+VLOOKUP(C60,'Whitman Reg - Price Out'!B:G,6,FALSE)</f>
        <v>0.99999999999999989</v>
      </c>
      <c r="E60" s="175">
        <f>+References!$B$10</f>
        <v>4.333333333333333</v>
      </c>
      <c r="F60" s="84">
        <f>D60*E60*References!$B$50</f>
        <v>51.999999999999986</v>
      </c>
      <c r="G60" s="84">
        <f>+References!B23*5</f>
        <v>235</v>
      </c>
      <c r="H60" s="84">
        <f t="shared" si="14"/>
        <v>12219.999999999996</v>
      </c>
      <c r="I60" s="81">
        <f t="shared" si="39"/>
        <v>8053.7559971443725</v>
      </c>
      <c r="J60" s="98">
        <f>I60*References!$C$55</f>
        <v>16.10751199428876</v>
      </c>
      <c r="K60" s="98">
        <f>J60/References!$G$58</f>
        <v>16.437914067036189</v>
      </c>
      <c r="L60" s="98">
        <f t="shared" si="40"/>
        <v>1.3698261722530161</v>
      </c>
      <c r="M60" s="98">
        <f>+'Proposed Rates'!B66*5</f>
        <v>195.85000000000002</v>
      </c>
      <c r="N60" s="98">
        <f t="shared" si="16"/>
        <v>197.21982617225305</v>
      </c>
      <c r="O60" s="98">
        <f>+'Proposed Rates'!D66*5</f>
        <v>197.21982617225302</v>
      </c>
      <c r="P60" s="98">
        <f>D60*M60*References!$B$50</f>
        <v>2350.1999999999998</v>
      </c>
      <c r="Q60" s="98">
        <f>D60*O60*References!$B$50</f>
        <v>2366.637914067036</v>
      </c>
      <c r="R60" s="98">
        <f t="shared" si="24"/>
        <v>16.437914067036218</v>
      </c>
      <c r="S60" s="98">
        <f>D60*N60*References!$B$50</f>
        <v>2366.637914067036</v>
      </c>
      <c r="T60" s="98">
        <f t="shared" si="26"/>
        <v>0</v>
      </c>
      <c r="U60" s="113">
        <f t="shared" si="27"/>
        <v>197.21982617225305</v>
      </c>
      <c r="V60" s="113">
        <f>D60*U60*References!$B$50</f>
        <v>2366.637914067036</v>
      </c>
      <c r="W60" s="113">
        <f t="shared" si="29"/>
        <v>16.437914067036218</v>
      </c>
      <c r="X60" s="178">
        <f>I60*(References!$C$55/References!$G$58)</f>
        <v>16.437914067036186</v>
      </c>
      <c r="Y60" s="98">
        <f t="shared" si="17"/>
        <v>3.1974423109204508E-14</v>
      </c>
    </row>
    <row r="61" spans="1:31">
      <c r="A61" s="263"/>
      <c r="B61" s="134">
        <v>38</v>
      </c>
      <c r="C61" s="1" t="s">
        <v>112</v>
      </c>
      <c r="D61" s="81">
        <f>+VLOOKUP(C61,'Whitman Reg - Price Out'!B:G,6,FALSE)</f>
        <v>134.29171726985666</v>
      </c>
      <c r="E61" s="90">
        <f>+References!B10</f>
        <v>4.333333333333333</v>
      </c>
      <c r="F61" s="81">
        <f>D61*E61*References!$B$50</f>
        <v>6983.1692980325461</v>
      </c>
      <c r="G61" s="81">
        <f>+References!B24</f>
        <v>68</v>
      </c>
      <c r="H61" s="81">
        <f t="shared" si="14"/>
        <v>474855.51226621313</v>
      </c>
      <c r="I61" s="81">
        <f t="shared" si="39"/>
        <v>312959.93696326338</v>
      </c>
      <c r="J61" s="98">
        <f>I61*References!$C$55</f>
        <v>625.91987392652732</v>
      </c>
      <c r="K61" s="98">
        <f>J61/References!$G$58</f>
        <v>638.7589283871082</v>
      </c>
      <c r="L61" s="98">
        <f t="shared" si="40"/>
        <v>0.39637523282214931</v>
      </c>
      <c r="M61" s="98">
        <f>+'Proposed Rates'!B70</f>
        <v>46.86</v>
      </c>
      <c r="N61" s="98">
        <f t="shared" si="16"/>
        <v>47.256375232822151</v>
      </c>
      <c r="O61" s="98">
        <f>+'Proposed Rates'!D70</f>
        <v>47.256375232822151</v>
      </c>
      <c r="P61" s="98">
        <f>D61*M61*References!$B$50</f>
        <v>75514.918455185805</v>
      </c>
      <c r="Q61" s="98">
        <f>D61*O61*References!$B$50</f>
        <v>76153.677383572911</v>
      </c>
      <c r="R61" s="98">
        <f t="shared" si="24"/>
        <v>638.7589283871057</v>
      </c>
      <c r="S61" s="98">
        <f>D61*N61*References!$B$50</f>
        <v>76153.677383572911</v>
      </c>
      <c r="T61" s="98">
        <f t="shared" si="26"/>
        <v>0</v>
      </c>
      <c r="U61" s="113">
        <f t="shared" si="27"/>
        <v>47.256375232822151</v>
      </c>
      <c r="V61" s="113">
        <f>D61*U61*References!$B$50</f>
        <v>76153.677383572911</v>
      </c>
      <c r="W61" s="113">
        <f t="shared" si="29"/>
        <v>638.7589283871057</v>
      </c>
      <c r="X61" s="178">
        <f>I61*(References!$C$55/References!$G$58)</f>
        <v>638.7589283871082</v>
      </c>
      <c r="Y61" s="98">
        <f t="shared" si="17"/>
        <v>-2.5011104298755527E-12</v>
      </c>
    </row>
    <row r="62" spans="1:31">
      <c r="A62" s="263"/>
      <c r="B62" s="134">
        <v>38</v>
      </c>
      <c r="C62" s="1" t="s">
        <v>114</v>
      </c>
      <c r="D62" s="81">
        <f>+VLOOKUP(C62,'Whitman Reg - Price Out'!B:G,6,FALSE)</f>
        <v>13.072523179076077</v>
      </c>
      <c r="E62" s="175">
        <f>+References!$B$10</f>
        <v>4.333333333333333</v>
      </c>
      <c r="F62" s="84">
        <f>D62*E62*References!$B$50</f>
        <v>679.77120531195601</v>
      </c>
      <c r="G62" s="84">
        <f>+References!B24*2</f>
        <v>136</v>
      </c>
      <c r="H62" s="81">
        <f t="shared" si="14"/>
        <v>92448.883922426015</v>
      </c>
      <c r="I62" s="81">
        <f t="shared" si="39"/>
        <v>60929.685214365199</v>
      </c>
      <c r="J62" s="98">
        <f>I62*References!$C$55</f>
        <v>121.8593704287305</v>
      </c>
      <c r="K62" s="98">
        <f>J62/References!$G$58</f>
        <v>124.35898604830136</v>
      </c>
      <c r="L62" s="98">
        <f>K62/F62*E62</f>
        <v>0.79275046564429852</v>
      </c>
      <c r="M62" s="98">
        <f>+'Proposed Rates'!B70*2</f>
        <v>93.72</v>
      </c>
      <c r="N62" s="98">
        <f t="shared" si="16"/>
        <v>94.512750465644302</v>
      </c>
      <c r="O62" s="98">
        <f>+'Proposed Rates'!D70*2</f>
        <v>94.512750465644302</v>
      </c>
      <c r="P62" s="98">
        <f>D62*M62*References!$B$50</f>
        <v>14701.882468116117</v>
      </c>
      <c r="Q62" s="98">
        <f>D62*O62*References!$B$50</f>
        <v>14826.241454164421</v>
      </c>
      <c r="R62" s="98">
        <f t="shared" si="24"/>
        <v>124.35898604830436</v>
      </c>
      <c r="S62" s="98">
        <f>D62*N62*References!$B$50</f>
        <v>14826.241454164421</v>
      </c>
      <c r="T62" s="98">
        <f t="shared" si="26"/>
        <v>0</v>
      </c>
      <c r="U62" s="113">
        <f t="shared" si="27"/>
        <v>94.512750465644302</v>
      </c>
      <c r="V62" s="113">
        <f>D62*U62*References!$B$50</f>
        <v>14826.241454164421</v>
      </c>
      <c r="W62" s="113">
        <f t="shared" si="29"/>
        <v>124.35898604830436</v>
      </c>
      <c r="X62" s="178">
        <f>I62*(References!$C$55/References!$G$58)</f>
        <v>124.35898604830136</v>
      </c>
      <c r="Y62" s="98">
        <f t="shared" si="17"/>
        <v>2.9984903449076228E-12</v>
      </c>
    </row>
    <row r="63" spans="1:31">
      <c r="A63" s="263"/>
      <c r="B63" s="134">
        <v>38</v>
      </c>
      <c r="C63" s="1" t="s">
        <v>116</v>
      </c>
      <c r="D63" s="81">
        <f>+VLOOKUP(C63,'Whitman Reg - Price Out'!B:G,6,FALSE)</f>
        <v>1.0000101218672823</v>
      </c>
      <c r="E63" s="175">
        <f>+References!$B$9</f>
        <v>8.6666666666666661</v>
      </c>
      <c r="F63" s="84">
        <f>D63*E63*References!$B$50</f>
        <v>104.00105267419735</v>
      </c>
      <c r="G63" s="84">
        <f>+References!B24</f>
        <v>68</v>
      </c>
      <c r="H63" s="81">
        <f t="shared" si="14"/>
        <v>7072.07158184542</v>
      </c>
      <c r="I63" s="81">
        <f t="shared" si="39"/>
        <v>4660.9442646908228</v>
      </c>
      <c r="J63" s="98">
        <f>I63*References!$C$55</f>
        <v>9.3218885293816545</v>
      </c>
      <c r="K63" s="98">
        <f>J63/References!$G$58</f>
        <v>9.5131018771115983</v>
      </c>
      <c r="L63" s="98">
        <f t="shared" si="40"/>
        <v>0.79275046564429863</v>
      </c>
      <c r="M63" s="98">
        <f>+'Proposed Rates'!B70*2</f>
        <v>93.72</v>
      </c>
      <c r="N63" s="98">
        <f t="shared" si="16"/>
        <v>94.512750465644302</v>
      </c>
      <c r="O63" s="98">
        <f>+'Proposed Rates'!D70*2</f>
        <v>94.512750465644302</v>
      </c>
      <c r="P63" s="98">
        <f>D63*M63*References!$B$50</f>
        <v>1124.6513834568204</v>
      </c>
      <c r="Q63" s="98">
        <f>D63*O63*References!$B$50</f>
        <v>1134.1644853339319</v>
      </c>
      <c r="R63" s="98">
        <f t="shared" si="24"/>
        <v>9.5131018771114668</v>
      </c>
      <c r="S63" s="98">
        <f>D63*N63*References!$B$50</f>
        <v>1134.1644853339319</v>
      </c>
      <c r="T63" s="98">
        <f t="shared" si="26"/>
        <v>0</v>
      </c>
      <c r="U63" s="113">
        <f t="shared" si="27"/>
        <v>94.512750465644302</v>
      </c>
      <c r="V63" s="113">
        <f>D63*U63*References!$B$50</f>
        <v>1134.1644853339319</v>
      </c>
      <c r="W63" s="113">
        <f t="shared" si="29"/>
        <v>9.5131018771114668</v>
      </c>
      <c r="X63" s="178">
        <f>I63*(References!$C$55/References!$G$58)</f>
        <v>9.5131018771115965</v>
      </c>
      <c r="Y63" s="98">
        <f t="shared" si="17"/>
        <v>-1.2967404927621828E-13</v>
      </c>
    </row>
    <row r="64" spans="1:31">
      <c r="A64" s="263"/>
      <c r="B64" s="134">
        <v>38</v>
      </c>
      <c r="C64" s="1" t="s">
        <v>118</v>
      </c>
      <c r="D64" s="81">
        <f>+VLOOKUP(C64,'Whitman Reg - Price Out'!B:G,6,FALSE)</f>
        <v>1.0000000000000002</v>
      </c>
      <c r="E64" s="175">
        <f>+References!$B$9</f>
        <v>8.6666666666666661</v>
      </c>
      <c r="F64" s="84">
        <f>D64*E64*References!$B$50</f>
        <v>104.00000000000001</v>
      </c>
      <c r="G64" s="84">
        <f>+References!B24*4</f>
        <v>272</v>
      </c>
      <c r="H64" s="81">
        <f t="shared" si="14"/>
        <v>28288.000000000004</v>
      </c>
      <c r="I64" s="81">
        <f t="shared" si="39"/>
        <v>18643.588350836344</v>
      </c>
      <c r="J64" s="98">
        <f>I64*References!$C$55</f>
        <v>37.28717670167272</v>
      </c>
      <c r="K64" s="98">
        <f>J64/References!$G$58</f>
        <v>38.052022350926343</v>
      </c>
      <c r="L64" s="98">
        <f t="shared" si="40"/>
        <v>3.1710018625771945</v>
      </c>
      <c r="M64" s="98">
        <f>+'Proposed Rates'!B70*8</f>
        <v>374.88</v>
      </c>
      <c r="N64" s="98">
        <f t="shared" si="16"/>
        <v>378.05100186257721</v>
      </c>
      <c r="O64" s="98">
        <f>+'Proposed Rates'!D70*8</f>
        <v>378.05100186257721</v>
      </c>
      <c r="P64" s="98">
        <f>D64*M64*References!$B$50</f>
        <v>4498.5600000000004</v>
      </c>
      <c r="Q64" s="98">
        <f>D64*O64*References!$B$50</f>
        <v>4536.612022350927</v>
      </c>
      <c r="R64" s="98">
        <f t="shared" si="24"/>
        <v>38.052022350926563</v>
      </c>
      <c r="S64" s="98">
        <f>D64*N64*References!$B$50</f>
        <v>4536.612022350927</v>
      </c>
      <c r="T64" s="98">
        <f t="shared" si="26"/>
        <v>0</v>
      </c>
      <c r="U64" s="113">
        <f t="shared" si="27"/>
        <v>378.05100186257721</v>
      </c>
      <c r="V64" s="113">
        <f>D64*U64*References!$B$50</f>
        <v>4536.612022350927</v>
      </c>
      <c r="W64" s="113">
        <f t="shared" si="29"/>
        <v>38.052022350926563</v>
      </c>
      <c r="X64" s="178">
        <f>I64*(References!$C$55/References!$G$58)</f>
        <v>38.052022350926336</v>
      </c>
      <c r="Y64" s="98">
        <f t="shared" si="17"/>
        <v>2.2737367544323206E-13</v>
      </c>
    </row>
    <row r="65" spans="1:31">
      <c r="A65" s="263"/>
      <c r="B65" s="134">
        <v>38</v>
      </c>
      <c r="C65" s="1" t="s">
        <v>120</v>
      </c>
      <c r="D65" s="81">
        <f>+VLOOKUP(C65,'Whitman Reg - Price Out'!B:G,6,FALSE)</f>
        <v>1.4166666666666667</v>
      </c>
      <c r="E65" s="90">
        <f>+References!B12</f>
        <v>1</v>
      </c>
      <c r="F65" s="81">
        <f>D65*E65*References!$B$50</f>
        <v>17</v>
      </c>
      <c r="G65" s="81">
        <f>+References!B28</f>
        <v>29</v>
      </c>
      <c r="H65" s="81">
        <f t="shared" si="14"/>
        <v>493</v>
      </c>
      <c r="I65" s="81">
        <f t="shared" si="39"/>
        <v>324.91830659510447</v>
      </c>
      <c r="J65" s="98">
        <f>I65*References!$C$55</f>
        <v>0.64983661319020947</v>
      </c>
      <c r="K65" s="98">
        <f>J65/References!$G$58</f>
        <v>0.66316625491398051</v>
      </c>
      <c r="L65" s="98">
        <f>K65/F65</f>
        <v>3.9009779700822381E-2</v>
      </c>
      <c r="M65" s="98">
        <f>+'Proposed Rates'!B61</f>
        <v>13.25</v>
      </c>
      <c r="N65" s="98">
        <f t="shared" si="16"/>
        <v>13.289009779700823</v>
      </c>
      <c r="O65" s="98">
        <f>+'Proposed Rates'!D61</f>
        <v>13.289009779700823</v>
      </c>
      <c r="P65" s="98">
        <f t="shared" si="22"/>
        <v>225.25</v>
      </c>
      <c r="Q65" s="98">
        <f t="shared" si="23"/>
        <v>225.91316625491399</v>
      </c>
      <c r="R65" s="98">
        <f t="shared" si="24"/>
        <v>0.66316625491398895</v>
      </c>
      <c r="S65" s="98">
        <f t="shared" si="25"/>
        <v>225.91316625491399</v>
      </c>
      <c r="T65" s="98">
        <f t="shared" si="26"/>
        <v>0</v>
      </c>
      <c r="U65" s="113">
        <f t="shared" si="27"/>
        <v>13.289009779700823</v>
      </c>
      <c r="V65" s="113">
        <f t="shared" si="28"/>
        <v>225.91316625491399</v>
      </c>
      <c r="W65" s="113">
        <f t="shared" si="29"/>
        <v>0.66316625491398895</v>
      </c>
      <c r="X65" s="178">
        <f>I65*(References!$C$55/References!$G$58)</f>
        <v>0.66316625491398051</v>
      </c>
      <c r="Y65" s="98">
        <f t="shared" si="17"/>
        <v>8.4376949871511897E-15</v>
      </c>
    </row>
    <row r="66" spans="1:31" s="149" customFormat="1">
      <c r="A66" s="263"/>
      <c r="B66" s="134"/>
      <c r="C66" s="149" t="s">
        <v>467</v>
      </c>
      <c r="D66" s="81">
        <f>+VLOOKUP(C66,'Whitman Reg - Price Out'!B:G,6,FALSE)</f>
        <v>0.38799472295514509</v>
      </c>
      <c r="E66" s="90">
        <f>+References!B12</f>
        <v>1</v>
      </c>
      <c r="F66" s="81">
        <f>D66*E66*References!$B$50</f>
        <v>4.6559366754617413</v>
      </c>
      <c r="G66" s="81">
        <f>+References!B24</f>
        <v>68</v>
      </c>
      <c r="H66" s="81">
        <f t="shared" ref="H66" si="42">F66*G66</f>
        <v>316.60369393139842</v>
      </c>
      <c r="I66" s="81">
        <f t="shared" si="39"/>
        <v>208.6619393386303</v>
      </c>
      <c r="J66" s="98">
        <f>I66*References!$C$55</f>
        <v>0.41732387867726101</v>
      </c>
      <c r="K66" s="98">
        <f>J66/References!$G$58</f>
        <v>0.42588415009415348</v>
      </c>
      <c r="L66" s="98">
        <f>K66/F66</f>
        <v>9.1471207574342156E-2</v>
      </c>
      <c r="M66" s="98">
        <f>+'Proposed Rates'!B69</f>
        <v>21.57</v>
      </c>
      <c r="N66" s="98">
        <f t="shared" si="16"/>
        <v>21.661471207574344</v>
      </c>
      <c r="O66" s="98">
        <f>+'Proposed Rates'!D69</f>
        <v>21.661394260676641</v>
      </c>
      <c r="P66" s="98">
        <f t="shared" ref="P66" si="43">F66*M66</f>
        <v>100.42855408970976</v>
      </c>
      <c r="Q66" s="98">
        <f t="shared" ref="Q66" si="44">F66*O66</f>
        <v>100.85407997992084</v>
      </c>
      <c r="R66" s="98">
        <f t="shared" ref="R66" si="45">Q66-P66</f>
        <v>0.42552589021107678</v>
      </c>
      <c r="S66" s="98">
        <f t="shared" ref="S66" si="46">F66*N66</f>
        <v>100.85443823980393</v>
      </c>
      <c r="T66" s="98">
        <f t="shared" ref="T66" si="47">Q66-S66</f>
        <v>-3.5825988308602064E-4</v>
      </c>
      <c r="U66" s="113">
        <f t="shared" ref="U66" si="48">N66</f>
        <v>21.661471207574344</v>
      </c>
      <c r="V66" s="113">
        <f t="shared" ref="V66" si="49">F66*U66</f>
        <v>100.85443823980393</v>
      </c>
      <c r="W66" s="113">
        <f t="shared" ref="W66" si="50">V66-P66</f>
        <v>0.42588415009416281</v>
      </c>
      <c r="X66" s="178">
        <f>I66*(References!$C$55/References!$G$58)</f>
        <v>0.42588415009415342</v>
      </c>
      <c r="Y66" s="98">
        <f t="shared" ref="Y66" si="51">W66-X66</f>
        <v>9.3813845580825728E-15</v>
      </c>
      <c r="AA66"/>
      <c r="AB66"/>
      <c r="AC66"/>
      <c r="AD66"/>
      <c r="AE66"/>
    </row>
    <row r="67" spans="1:31">
      <c r="A67" s="263"/>
      <c r="B67" s="134">
        <v>38</v>
      </c>
      <c r="C67" s="1" t="s">
        <v>122</v>
      </c>
      <c r="D67" s="81">
        <f>+VLOOKUP(C67,'Whitman Reg - Price Out'!B:G,6,FALSE)</f>
        <v>275.43407668231612</v>
      </c>
      <c r="E67" s="90">
        <f>+References!B12</f>
        <v>1</v>
      </c>
      <c r="F67" s="81">
        <f>D67*E67*References!$B$50</f>
        <v>3305.2089201877934</v>
      </c>
      <c r="G67" s="81">
        <f>+References!B28</f>
        <v>29</v>
      </c>
      <c r="H67" s="81">
        <f t="shared" si="14"/>
        <v>95851.058685446013</v>
      </c>
      <c r="I67" s="81">
        <f t="shared" si="39"/>
        <v>63171.934428850102</v>
      </c>
      <c r="J67" s="98">
        <f>I67*References!$C$55</f>
        <v>126.34386885770031</v>
      </c>
      <c r="K67" s="98">
        <f>J67/References!$G$58</f>
        <v>128.93547184171885</v>
      </c>
      <c r="L67" s="98">
        <f t="shared" ref="L67:L81" si="52">K67/F67</f>
        <v>3.9009779700822381E-2</v>
      </c>
      <c r="M67" s="98">
        <f>+'Proposed Rates'!B60</f>
        <v>4.8499999999999996</v>
      </c>
      <c r="N67" s="98">
        <f t="shared" si="16"/>
        <v>4.8890097797008218</v>
      </c>
      <c r="O67" s="98">
        <f>+'Proposed Rates'!D60</f>
        <v>4.8890097797008218</v>
      </c>
      <c r="P67" s="98">
        <f t="shared" si="22"/>
        <v>16030.263262910797</v>
      </c>
      <c r="Q67" s="98">
        <f t="shared" si="23"/>
        <v>16159.198734752516</v>
      </c>
      <c r="R67" s="98">
        <f t="shared" si="24"/>
        <v>128.93547184171803</v>
      </c>
      <c r="S67" s="98">
        <f t="shared" si="25"/>
        <v>16159.198734752516</v>
      </c>
      <c r="T67" s="98">
        <f t="shared" si="26"/>
        <v>0</v>
      </c>
      <c r="U67" s="113">
        <f t="shared" si="27"/>
        <v>4.8890097797008218</v>
      </c>
      <c r="V67" s="113">
        <f t="shared" si="28"/>
        <v>16159.198734752516</v>
      </c>
      <c r="W67" s="113">
        <f t="shared" si="29"/>
        <v>128.93547184171803</v>
      </c>
      <c r="X67" s="178">
        <f>I67*(References!$C$55/References!$G$58)</f>
        <v>128.93547184171885</v>
      </c>
      <c r="Y67" s="98">
        <f t="shared" si="17"/>
        <v>-8.2422957348171622E-13</v>
      </c>
    </row>
    <row r="68" spans="1:31">
      <c r="A68" s="263"/>
      <c r="B68" s="134">
        <v>21</v>
      </c>
      <c r="C68" s="1" t="s">
        <v>124</v>
      </c>
      <c r="D68" s="81">
        <f>+VLOOKUP(C68,'Whitman Reg - Price Out'!B:G,6,FALSE)</f>
        <v>0.49999999999999994</v>
      </c>
      <c r="E68" s="90">
        <f>+References!B12</f>
        <v>1</v>
      </c>
      <c r="F68" s="81">
        <f>D68*E68*References!$B$50</f>
        <v>5.9999999999999991</v>
      </c>
      <c r="G68" s="84">
        <f>References!$B$26</f>
        <v>34</v>
      </c>
      <c r="H68" s="81">
        <f t="shared" si="14"/>
        <v>203.99999999999997</v>
      </c>
      <c r="I68" s="81">
        <f t="shared" si="39"/>
        <v>134.44895445314665</v>
      </c>
      <c r="J68" s="98">
        <f>I68*References!$C$55</f>
        <v>0.26889790890629356</v>
      </c>
      <c r="K68" s="98">
        <f>J68/References!$G$58</f>
        <v>0.27441362272302638</v>
      </c>
      <c r="L68" s="98">
        <f t="shared" si="52"/>
        <v>4.5735603787171071E-2</v>
      </c>
      <c r="M68" s="98">
        <f>+'Proposed Rates'!B7</f>
        <v>4.74</v>
      </c>
      <c r="N68" s="98">
        <f t="shared" si="16"/>
        <v>4.7857356037871712</v>
      </c>
      <c r="O68" s="98">
        <f>+'Proposed Rates'!D7</f>
        <v>4.7857356037871712</v>
      </c>
      <c r="P68" s="98">
        <f t="shared" si="22"/>
        <v>28.439999999999998</v>
      </c>
      <c r="Q68" s="98">
        <f t="shared" si="23"/>
        <v>28.714413622723022</v>
      </c>
      <c r="R68" s="98">
        <f t="shared" si="24"/>
        <v>0.27441362272302428</v>
      </c>
      <c r="S68" s="98">
        <f t="shared" si="25"/>
        <v>28.714413622723022</v>
      </c>
      <c r="T68" s="99">
        <f t="shared" si="26"/>
        <v>0</v>
      </c>
      <c r="U68" s="113">
        <f t="shared" si="27"/>
        <v>4.7857356037871712</v>
      </c>
      <c r="V68" s="113">
        <f t="shared" si="28"/>
        <v>28.714413622723022</v>
      </c>
      <c r="W68" s="113">
        <f t="shared" si="29"/>
        <v>0.27441362272302428</v>
      </c>
      <c r="X68" s="178">
        <f>I68*(References!$C$55/References!$G$58)</f>
        <v>0.27441362272302638</v>
      </c>
      <c r="Y68" s="98">
        <f t="shared" si="17"/>
        <v>-2.1094237467877974E-15</v>
      </c>
    </row>
    <row r="69" spans="1:31">
      <c r="A69" s="263"/>
      <c r="B69" s="134">
        <v>37</v>
      </c>
      <c r="C69" s="1" t="s">
        <v>128</v>
      </c>
      <c r="D69" s="81">
        <f>+VLOOKUP(C69,'Whitman Reg - Price Out'!B:G,6,FALSE)</f>
        <v>0.75</v>
      </c>
      <c r="E69" s="90">
        <f>+References!B12</f>
        <v>1</v>
      </c>
      <c r="F69" s="81">
        <f>D69*E69*References!$B$50</f>
        <v>9</v>
      </c>
      <c r="G69" s="81">
        <f>+References!B29</f>
        <v>175</v>
      </c>
      <c r="H69" s="81">
        <f t="shared" si="14"/>
        <v>1575</v>
      </c>
      <c r="I69" s="81">
        <f t="shared" si="39"/>
        <v>1038.025015998559</v>
      </c>
      <c r="J69" s="98">
        <f>I69*References!$C$55</f>
        <v>2.0760500319971196</v>
      </c>
      <c r="K69" s="98">
        <f>J69/References!$G$58</f>
        <v>2.1186345871998364</v>
      </c>
      <c r="L69" s="98">
        <f t="shared" si="52"/>
        <v>0.23540384302220405</v>
      </c>
      <c r="M69" s="98">
        <f>+'Proposed Rates'!B43</f>
        <v>43.44</v>
      </c>
      <c r="N69" s="98">
        <f t="shared" si="16"/>
        <v>43.675403843022202</v>
      </c>
      <c r="O69" s="98">
        <f>+'Proposed Rates'!D43</f>
        <v>43.675403843022202</v>
      </c>
      <c r="P69" s="98">
        <f t="shared" si="22"/>
        <v>390.96</v>
      </c>
      <c r="Q69" s="98">
        <f t="shared" si="23"/>
        <v>393.07863458719982</v>
      </c>
      <c r="R69" s="98">
        <f t="shared" si="24"/>
        <v>2.1186345871998356</v>
      </c>
      <c r="S69" s="98">
        <f t="shared" si="25"/>
        <v>393.07863458719982</v>
      </c>
      <c r="T69" s="98">
        <f t="shared" si="26"/>
        <v>0</v>
      </c>
      <c r="U69" s="113">
        <f t="shared" si="27"/>
        <v>43.675403843022202</v>
      </c>
      <c r="V69" s="113">
        <f t="shared" si="28"/>
        <v>393.07863458719982</v>
      </c>
      <c r="W69" s="113">
        <f t="shared" si="29"/>
        <v>2.1186345871998356</v>
      </c>
      <c r="X69" s="178">
        <f>I69*(References!$C$55/References!$G$58)</f>
        <v>2.1186345871998364</v>
      </c>
      <c r="Y69" s="98">
        <f t="shared" si="17"/>
        <v>0</v>
      </c>
    </row>
    <row r="70" spans="1:31">
      <c r="A70" s="263"/>
      <c r="B70" s="134">
        <v>37</v>
      </c>
      <c r="C70" s="1" t="s">
        <v>130</v>
      </c>
      <c r="D70" s="81">
        <f>+VLOOKUP(C70,'Whitman Reg - Price Out'!B:G,6,FALSE)</f>
        <v>1.915664114716247</v>
      </c>
      <c r="E70" s="90">
        <f>+References!B12</f>
        <v>1</v>
      </c>
      <c r="F70" s="81">
        <f>D70*E70*References!$B$50</f>
        <v>22.987969376594965</v>
      </c>
      <c r="G70" s="81">
        <f>+References!B30</f>
        <v>250</v>
      </c>
      <c r="H70" s="81">
        <f t="shared" si="14"/>
        <v>5746.9923441487408</v>
      </c>
      <c r="I70" s="81">
        <f t="shared" si="39"/>
        <v>3787.6329015737097</v>
      </c>
      <c r="J70" s="98">
        <f>I70*References!$C$55</f>
        <v>7.5752658031474258</v>
      </c>
      <c r="K70" s="98">
        <f>J70/References!$G$58</f>
        <v>7.7306519064674211</v>
      </c>
      <c r="L70" s="98">
        <f t="shared" si="52"/>
        <v>0.33629120431743437</v>
      </c>
      <c r="M70" s="98">
        <f>+'Proposed Rates'!B44</f>
        <v>62.45</v>
      </c>
      <c r="N70" s="98">
        <f t="shared" si="16"/>
        <v>62.786291204317436</v>
      </c>
      <c r="O70" s="98">
        <f>+'Proposed Rates'!D44</f>
        <v>62.786291204317436</v>
      </c>
      <c r="P70" s="98">
        <f t="shared" si="22"/>
        <v>1435.5986875683557</v>
      </c>
      <c r="Q70" s="98">
        <f t="shared" si="23"/>
        <v>1443.329339474823</v>
      </c>
      <c r="R70" s="98">
        <f t="shared" si="24"/>
        <v>7.7306519064673012</v>
      </c>
      <c r="S70" s="98">
        <f t="shared" si="25"/>
        <v>1443.329339474823</v>
      </c>
      <c r="T70" s="98">
        <f t="shared" si="26"/>
        <v>0</v>
      </c>
      <c r="U70" s="113">
        <f t="shared" si="27"/>
        <v>62.786291204317436</v>
      </c>
      <c r="V70" s="113">
        <f t="shared" si="28"/>
        <v>1443.329339474823</v>
      </c>
      <c r="W70" s="113">
        <f t="shared" si="29"/>
        <v>7.7306519064673012</v>
      </c>
      <c r="X70" s="178">
        <f>I70*(References!$C$55/References!$G$58)</f>
        <v>7.7306519064674211</v>
      </c>
      <c r="Y70" s="98">
        <f t="shared" si="17"/>
        <v>-1.1990408665951691E-13</v>
      </c>
    </row>
    <row r="71" spans="1:31">
      <c r="A71" s="263"/>
      <c r="B71" s="134">
        <v>37</v>
      </c>
      <c r="C71" s="1" t="s">
        <v>132</v>
      </c>
      <c r="D71" s="81">
        <f>+VLOOKUP(C71,'Whitman Reg - Price Out'!B:G,6,FALSE)</f>
        <v>2.1661251224921343</v>
      </c>
      <c r="E71" s="90">
        <f>+References!B12</f>
        <v>1</v>
      </c>
      <c r="F71" s="81">
        <f>D71*E71*References!$B$50</f>
        <v>25.99350146990561</v>
      </c>
      <c r="G71" s="81">
        <f>+References!B32</f>
        <v>324</v>
      </c>
      <c r="H71" s="81">
        <f t="shared" si="14"/>
        <v>8421.8944762494175</v>
      </c>
      <c r="I71" s="81">
        <f t="shared" si="39"/>
        <v>5550.5632688552232</v>
      </c>
      <c r="J71" s="98">
        <f>I71*References!$C$55</f>
        <v>11.101126537710456</v>
      </c>
      <c r="K71" s="98">
        <f>J71/References!$G$58</f>
        <v>11.328836144209058</v>
      </c>
      <c r="L71" s="98">
        <f t="shared" si="52"/>
        <v>0.4358334007953949</v>
      </c>
      <c r="M71" s="98">
        <f>+'Proposed Rates'!B45</f>
        <v>73.569999999999993</v>
      </c>
      <c r="N71" s="98">
        <f t="shared" si="16"/>
        <v>74.005833400795382</v>
      </c>
      <c r="O71" s="98">
        <f>+'Proposed Rates'!D45</f>
        <v>74.005833400795382</v>
      </c>
      <c r="P71" s="98">
        <f t="shared" si="22"/>
        <v>1912.3419031409555</v>
      </c>
      <c r="Q71" s="98">
        <f t="shared" si="23"/>
        <v>1923.6707392851645</v>
      </c>
      <c r="R71" s="98">
        <f t="shared" si="24"/>
        <v>11.328836144208935</v>
      </c>
      <c r="S71" s="98">
        <f t="shared" si="25"/>
        <v>1923.6707392851645</v>
      </c>
      <c r="T71" s="98">
        <f t="shared" si="26"/>
        <v>0</v>
      </c>
      <c r="U71" s="113">
        <f t="shared" si="27"/>
        <v>74.005833400795382</v>
      </c>
      <c r="V71" s="113">
        <f t="shared" si="28"/>
        <v>1923.6707392851645</v>
      </c>
      <c r="W71" s="113">
        <f t="shared" si="29"/>
        <v>11.328836144208935</v>
      </c>
      <c r="X71" s="178">
        <f>I71*(References!$C$55/References!$G$58)</f>
        <v>11.328836144209058</v>
      </c>
      <c r="Y71" s="98">
        <f t="shared" si="17"/>
        <v>-1.2256862191861728E-13</v>
      </c>
    </row>
    <row r="72" spans="1:31">
      <c r="A72" s="263"/>
      <c r="B72" s="134">
        <v>37</v>
      </c>
      <c r="C72" s="1" t="s">
        <v>134</v>
      </c>
      <c r="D72" s="81">
        <f>+VLOOKUP(C72,'Whitman Reg - Price Out'!B:G,6,FALSE)</f>
        <v>0.91666666666666685</v>
      </c>
      <c r="E72" s="90">
        <f>+References!B12</f>
        <v>1</v>
      </c>
      <c r="F72" s="81">
        <f>D72*E72*References!$B$50</f>
        <v>11.000000000000002</v>
      </c>
      <c r="G72" s="81">
        <f>+References!B33</f>
        <v>473</v>
      </c>
      <c r="H72" s="81">
        <f t="shared" si="14"/>
        <v>5203.0000000000009</v>
      </c>
      <c r="I72" s="81">
        <f t="shared" si="39"/>
        <v>3429.1074020574624</v>
      </c>
      <c r="J72" s="98">
        <f>I72*References!$C$55</f>
        <v>6.8582148041149313</v>
      </c>
      <c r="K72" s="98">
        <f>J72/References!$G$58</f>
        <v>6.9988925442544456</v>
      </c>
      <c r="L72" s="98">
        <f t="shared" si="52"/>
        <v>0.63626295856858583</v>
      </c>
      <c r="M72" s="98">
        <f>+'Proposed Rates'!B46</f>
        <v>94.86</v>
      </c>
      <c r="N72" s="98">
        <f t="shared" si="16"/>
        <v>95.496262958568579</v>
      </c>
      <c r="O72" s="98">
        <f>+'Proposed Rates'!D46</f>
        <v>95.496262958568579</v>
      </c>
      <c r="P72" s="98">
        <f t="shared" si="22"/>
        <v>1043.4600000000003</v>
      </c>
      <c r="Q72" s="98">
        <f t="shared" si="23"/>
        <v>1050.4588925442545</v>
      </c>
      <c r="R72" s="98">
        <f t="shared" si="24"/>
        <v>6.998892544254204</v>
      </c>
      <c r="S72" s="98">
        <f t="shared" si="25"/>
        <v>1050.4588925442545</v>
      </c>
      <c r="T72" s="98">
        <f t="shared" si="26"/>
        <v>0</v>
      </c>
      <c r="U72" s="113">
        <f t="shared" si="27"/>
        <v>95.496262958568579</v>
      </c>
      <c r="V72" s="113">
        <f t="shared" si="28"/>
        <v>1050.4588925442545</v>
      </c>
      <c r="W72" s="113">
        <f t="shared" si="29"/>
        <v>6.998892544254204</v>
      </c>
      <c r="X72" s="178">
        <f>I72*(References!$C$55/References!$G$58)</f>
        <v>6.9988925442544447</v>
      </c>
      <c r="Y72" s="98">
        <f t="shared" si="17"/>
        <v>-2.4069635173873394E-13</v>
      </c>
    </row>
    <row r="73" spans="1:31">
      <c r="A73" s="263"/>
      <c r="B73" s="134">
        <v>37</v>
      </c>
      <c r="C73" s="1" t="s">
        <v>136</v>
      </c>
      <c r="D73" s="81">
        <f>+VLOOKUP(C73,'Whitman Reg - Price Out'!B:G,6,FALSE)</f>
        <v>1.0833333333333333</v>
      </c>
      <c r="E73" s="90">
        <f>+References!B12</f>
        <v>1</v>
      </c>
      <c r="F73" s="81">
        <f>D73*E73*References!$B$50</f>
        <v>13</v>
      </c>
      <c r="G73" s="81">
        <f>+References!B35</f>
        <v>613</v>
      </c>
      <c r="H73" s="81">
        <f t="shared" si="14"/>
        <v>7969</v>
      </c>
      <c r="I73" s="81">
        <f t="shared" si="39"/>
        <v>5252.0770492015972</v>
      </c>
      <c r="J73" s="98">
        <f>I73*References!$C$55</f>
        <v>10.504154098403204</v>
      </c>
      <c r="K73" s="98">
        <f>J73/References!$G$58</f>
        <v>10.719618428822537</v>
      </c>
      <c r="L73" s="98">
        <f t="shared" si="52"/>
        <v>0.82458603298634903</v>
      </c>
      <c r="M73" s="98">
        <f>+'Proposed Rates'!B47</f>
        <v>117.51</v>
      </c>
      <c r="N73" s="98">
        <f t="shared" si="16"/>
        <v>118.33458603298635</v>
      </c>
      <c r="O73" s="98">
        <f>+'Proposed Rates'!D47</f>
        <v>118.33458603298635</v>
      </c>
      <c r="P73" s="98">
        <f t="shared" si="22"/>
        <v>1527.63</v>
      </c>
      <c r="Q73" s="98">
        <f t="shared" si="23"/>
        <v>1538.3496184288226</v>
      </c>
      <c r="R73" s="98">
        <f t="shared" si="24"/>
        <v>10.719618428822514</v>
      </c>
      <c r="S73" s="98">
        <f t="shared" si="25"/>
        <v>1538.3496184288226</v>
      </c>
      <c r="T73" s="98">
        <f t="shared" si="26"/>
        <v>0</v>
      </c>
      <c r="U73" s="113">
        <f t="shared" si="27"/>
        <v>118.33458603298635</v>
      </c>
      <c r="V73" s="113">
        <f t="shared" si="28"/>
        <v>1538.3496184288226</v>
      </c>
      <c r="W73" s="113">
        <f t="shared" si="29"/>
        <v>10.719618428822514</v>
      </c>
      <c r="X73" s="178">
        <f>I73*(References!$C$55/References!$G$58)</f>
        <v>10.719618428822535</v>
      </c>
      <c r="Y73" s="98">
        <f t="shared" si="17"/>
        <v>-2.1316282072803006E-14</v>
      </c>
    </row>
    <row r="74" spans="1:31" s="75" customFormat="1">
      <c r="A74" s="263"/>
      <c r="B74" s="134">
        <v>37</v>
      </c>
      <c r="C74" s="75" t="s">
        <v>353</v>
      </c>
      <c r="D74" s="81">
        <f>+VLOOKUP(C74,'Whitman Reg - Price Out'!B:G,6,FALSE)</f>
        <v>0.17896665708536938</v>
      </c>
      <c r="E74" s="90">
        <f>+References!B12</f>
        <v>1</v>
      </c>
      <c r="F74" s="81">
        <f>D74*E74*References!$B$50</f>
        <v>2.1475998850244324</v>
      </c>
      <c r="G74" s="81">
        <f>+References!B37</f>
        <v>840</v>
      </c>
      <c r="H74" s="81">
        <f t="shared" ref="H74" si="53">F74*G74</f>
        <v>1803.9839034205233</v>
      </c>
      <c r="I74" s="81">
        <f t="shared" si="39"/>
        <v>1188.9399493391948</v>
      </c>
      <c r="J74" s="98">
        <f>I74*References!$C$55</f>
        <v>2.3778798986783918</v>
      </c>
      <c r="K74" s="98">
        <f>J74/References!$G$58</f>
        <v>2.4266556778022164</v>
      </c>
      <c r="L74" s="98">
        <f t="shared" si="52"/>
        <v>1.1299384465065796</v>
      </c>
      <c r="M74" s="98">
        <f>+'Proposed Rates'!B48</f>
        <v>158.41</v>
      </c>
      <c r="N74" s="98">
        <f t="shared" si="16"/>
        <v>159.53993844650657</v>
      </c>
      <c r="O74" s="98">
        <f>+'Proposed Rates'!D48</f>
        <v>159.53993844650657</v>
      </c>
      <c r="P74" s="98">
        <f t="shared" si="22"/>
        <v>340.20129778672032</v>
      </c>
      <c r="Q74" s="98">
        <f t="shared" si="23"/>
        <v>342.62795346452253</v>
      </c>
      <c r="R74" s="98">
        <f t="shared" si="24"/>
        <v>2.4266556778022164</v>
      </c>
      <c r="S74" s="98">
        <f t="shared" si="25"/>
        <v>342.62795346452253</v>
      </c>
      <c r="T74" s="98">
        <f t="shared" si="26"/>
        <v>0</v>
      </c>
      <c r="U74" s="113">
        <f t="shared" si="27"/>
        <v>159.53993844650657</v>
      </c>
      <c r="V74" s="113">
        <f t="shared" si="28"/>
        <v>342.62795346452253</v>
      </c>
      <c r="W74" s="113">
        <f t="shared" si="29"/>
        <v>2.4266556778022164</v>
      </c>
      <c r="X74" s="178">
        <f>I74*(References!$C$55/References!$G$58)</f>
        <v>2.4266556778022159</v>
      </c>
      <c r="Y74" s="98">
        <f t="shared" si="17"/>
        <v>0</v>
      </c>
      <c r="AA74"/>
      <c r="AB74"/>
      <c r="AC74"/>
      <c r="AD74"/>
      <c r="AE74"/>
    </row>
    <row r="75" spans="1:31" s="149" customFormat="1">
      <c r="A75" s="263"/>
      <c r="B75" s="134">
        <v>37</v>
      </c>
      <c r="C75" s="179" t="s">
        <v>465</v>
      </c>
      <c r="D75" s="81">
        <f>+VLOOKUP(C75,'Whitman Reg - Price Out'!B:G,6,FALSE)</f>
        <v>8.3333333333333329E-2</v>
      </c>
      <c r="E75" s="90">
        <v>1</v>
      </c>
      <c r="F75" s="81">
        <f>D75*E75*References!$B$50</f>
        <v>1</v>
      </c>
      <c r="G75" s="81">
        <f>+References!B39</f>
        <v>980</v>
      </c>
      <c r="H75" s="81">
        <f t="shared" ref="H75" si="54">F75*G75</f>
        <v>980</v>
      </c>
      <c r="I75" s="81">
        <f t="shared" ref="I75" si="55">H75*$D$102</f>
        <v>645.88223217688108</v>
      </c>
      <c r="J75" s="98">
        <f>I75*References!$C$55</f>
        <v>1.2917644643537634</v>
      </c>
      <c r="K75" s="98">
        <f>J75/References!$G$58</f>
        <v>1.3182615209243427</v>
      </c>
      <c r="L75" s="98">
        <f t="shared" ref="L75" si="56">K75/F75</f>
        <v>1.3182615209243427</v>
      </c>
      <c r="M75" s="98">
        <f>+'Proposed Rates'!B49</f>
        <v>200.51</v>
      </c>
      <c r="N75" s="98">
        <f t="shared" si="16"/>
        <v>201.82826152092434</v>
      </c>
      <c r="O75" s="98">
        <f>+'Proposed Rates'!D49</f>
        <v>201.82826152092434</v>
      </c>
      <c r="P75" s="98">
        <f t="shared" ref="P75" si="57">F75*M75</f>
        <v>200.51</v>
      </c>
      <c r="Q75" s="98">
        <f t="shared" ref="Q75" si="58">F75*O75</f>
        <v>201.82826152092434</v>
      </c>
      <c r="R75" s="98">
        <f t="shared" ref="R75" si="59">Q75-P75</f>
        <v>1.3182615209243522</v>
      </c>
      <c r="S75" s="98">
        <f t="shared" ref="S75" si="60">F75*N75</f>
        <v>201.82826152092434</v>
      </c>
      <c r="T75" s="98">
        <f t="shared" ref="T75" si="61">Q75-S75</f>
        <v>0</v>
      </c>
      <c r="U75" s="113">
        <f t="shared" ref="U75" si="62">N75</f>
        <v>201.82826152092434</v>
      </c>
      <c r="V75" s="113">
        <f t="shared" ref="V75" si="63">F75*U75</f>
        <v>201.82826152092434</v>
      </c>
      <c r="W75" s="113">
        <f t="shared" ref="W75" si="64">V75-P75</f>
        <v>1.3182615209243522</v>
      </c>
      <c r="X75" s="178">
        <f>I75*(References!$C$55/References!$G$58)</f>
        <v>1.3182615209243425</v>
      </c>
      <c r="Y75" s="98">
        <f t="shared" ref="Y75" si="65">W75-X75</f>
        <v>9.7699626167013776E-15</v>
      </c>
      <c r="AA75"/>
      <c r="AB75"/>
      <c r="AC75"/>
      <c r="AD75"/>
      <c r="AE75"/>
    </row>
    <row r="76" spans="1:31">
      <c r="A76" s="263"/>
      <c r="B76" s="134">
        <v>37</v>
      </c>
      <c r="C76" s="1" t="s">
        <v>138</v>
      </c>
      <c r="D76" s="81">
        <f>+VLOOKUP(C76,'Whitman Reg - Price Out'!B:G,6,FALSE)</f>
        <v>0.5</v>
      </c>
      <c r="E76" s="90">
        <f>+References!B12</f>
        <v>1</v>
      </c>
      <c r="F76" s="81">
        <f>D76*E76*References!$B$50</f>
        <v>6</v>
      </c>
      <c r="G76" s="81">
        <f>+References!B30</f>
        <v>250</v>
      </c>
      <c r="H76" s="81">
        <f t="shared" si="14"/>
        <v>1500</v>
      </c>
      <c r="I76" s="81">
        <f t="shared" ref="I76:I81" si="66">H76*$D$102</f>
        <v>988.59525333196086</v>
      </c>
      <c r="J76" s="98">
        <f>I76*References!$C$55</f>
        <v>1.9771905066639235</v>
      </c>
      <c r="K76" s="98">
        <f>J76/References!$G$58</f>
        <v>2.0177472259046061</v>
      </c>
      <c r="L76" s="98">
        <f t="shared" si="52"/>
        <v>0.33629120431743437</v>
      </c>
      <c r="M76" s="98">
        <f>+'Proposed Rates'!B52</f>
        <v>31.49</v>
      </c>
      <c r="N76" s="98">
        <f t="shared" si="16"/>
        <v>31.826291204317432</v>
      </c>
      <c r="O76" s="98">
        <f>+'Proposed Rates'!D52</f>
        <v>31.826291204317432</v>
      </c>
      <c r="P76" s="98">
        <f t="shared" si="22"/>
        <v>188.94</v>
      </c>
      <c r="Q76" s="98">
        <f t="shared" si="23"/>
        <v>190.9577472259046</v>
      </c>
      <c r="R76" s="98">
        <f t="shared" si="24"/>
        <v>2.0177472259045999</v>
      </c>
      <c r="S76" s="98">
        <f t="shared" si="25"/>
        <v>190.9577472259046</v>
      </c>
      <c r="T76" s="98">
        <f t="shared" si="26"/>
        <v>0</v>
      </c>
      <c r="U76" s="113">
        <f t="shared" si="27"/>
        <v>31.826291204317432</v>
      </c>
      <c r="V76" s="113">
        <f t="shared" si="28"/>
        <v>190.9577472259046</v>
      </c>
      <c r="W76" s="113">
        <f t="shared" si="29"/>
        <v>2.0177472259045999</v>
      </c>
      <c r="X76" s="178">
        <f>I76*(References!$C$55/References!$G$58)</f>
        <v>2.0177472259046061</v>
      </c>
      <c r="Y76" s="98">
        <f t="shared" si="17"/>
        <v>-6.2172489379008766E-15</v>
      </c>
    </row>
    <row r="77" spans="1:31">
      <c r="A77" s="263"/>
      <c r="B77" s="134">
        <v>37</v>
      </c>
      <c r="C77" s="1" t="s">
        <v>140</v>
      </c>
      <c r="D77" s="81">
        <f>+VLOOKUP(C77,'Whitman Reg - Price Out'!B:G,6,FALSE)</f>
        <v>0.5</v>
      </c>
      <c r="E77" s="90">
        <f>+References!B12</f>
        <v>1</v>
      </c>
      <c r="F77" s="81">
        <f>D77*E77*References!$B$50</f>
        <v>6</v>
      </c>
      <c r="G77" s="81">
        <f>+References!B29</f>
        <v>175</v>
      </c>
      <c r="H77" s="81">
        <f t="shared" si="14"/>
        <v>1050</v>
      </c>
      <c r="I77" s="81">
        <f t="shared" si="66"/>
        <v>692.01667733237264</v>
      </c>
      <c r="J77" s="98">
        <f>I77*References!$C$55</f>
        <v>1.3840333546647465</v>
      </c>
      <c r="K77" s="98">
        <f>J77/References!$G$58</f>
        <v>1.4124230581332244</v>
      </c>
      <c r="L77" s="98">
        <f t="shared" si="52"/>
        <v>0.23540384302220407</v>
      </c>
      <c r="M77" s="98">
        <f>+'Proposed Rates'!B51</f>
        <v>20.9</v>
      </c>
      <c r="N77" s="98">
        <f t="shared" si="16"/>
        <v>21.135403843022203</v>
      </c>
      <c r="O77" s="98">
        <f>+'Proposed Rates'!D51</f>
        <v>21.135403843022203</v>
      </c>
      <c r="P77" s="98">
        <f t="shared" si="22"/>
        <v>125.39999999999999</v>
      </c>
      <c r="Q77" s="98">
        <f t="shared" si="23"/>
        <v>126.81242305813322</v>
      </c>
      <c r="R77" s="98">
        <f t="shared" si="24"/>
        <v>1.4124230581332284</v>
      </c>
      <c r="S77" s="98">
        <f t="shared" si="25"/>
        <v>126.81242305813322</v>
      </c>
      <c r="T77" s="98">
        <f t="shared" si="26"/>
        <v>0</v>
      </c>
      <c r="U77" s="113">
        <f t="shared" si="27"/>
        <v>21.135403843022203</v>
      </c>
      <c r="V77" s="113">
        <f t="shared" si="28"/>
        <v>126.81242305813322</v>
      </c>
      <c r="W77" s="113">
        <f t="shared" si="29"/>
        <v>1.4124230581332284</v>
      </c>
      <c r="X77" s="178">
        <f>I77*(References!$C$55/References!$G$58)</f>
        <v>1.4124230581332242</v>
      </c>
      <c r="Y77" s="98">
        <f t="shared" si="17"/>
        <v>4.2188474935755949E-15</v>
      </c>
    </row>
    <row r="78" spans="1:31">
      <c r="A78" s="263"/>
      <c r="B78" s="134">
        <v>37</v>
      </c>
      <c r="C78" s="1" t="s">
        <v>142</v>
      </c>
      <c r="D78" s="81">
        <f>+VLOOKUP(C78,'Whitman Reg - Price Out'!B:G,6,FALSE)</f>
        <v>2.2490832896804611</v>
      </c>
      <c r="E78" s="90">
        <f>+References!B12</f>
        <v>1</v>
      </c>
      <c r="F78" s="81">
        <f>D78*E78*References!$B$50</f>
        <v>26.988999476165532</v>
      </c>
      <c r="G78" s="81">
        <f>+References!B32</f>
        <v>324</v>
      </c>
      <c r="H78" s="81">
        <f t="shared" si="14"/>
        <v>8744.4358302776327</v>
      </c>
      <c r="I78" s="81">
        <f t="shared" si="66"/>
        <v>5763.1385032522612</v>
      </c>
      <c r="J78" s="98">
        <f>I78*References!$C$55</f>
        <v>11.526277006504532</v>
      </c>
      <c r="K78" s="98">
        <f>J78/References!$G$58</f>
        <v>11.762707425762356</v>
      </c>
      <c r="L78" s="98">
        <f t="shared" si="52"/>
        <v>0.4358334007953949</v>
      </c>
      <c r="M78" s="98">
        <f>+'Proposed Rates'!B53</f>
        <v>43.46</v>
      </c>
      <c r="N78" s="98">
        <f t="shared" si="16"/>
        <v>43.895833400795397</v>
      </c>
      <c r="O78" s="98">
        <f>+'Proposed Rates'!D53</f>
        <v>43.895833400795397</v>
      </c>
      <c r="P78" s="98">
        <f t="shared" si="22"/>
        <v>1172.9419172341541</v>
      </c>
      <c r="Q78" s="98">
        <f t="shared" si="23"/>
        <v>1184.7046246599164</v>
      </c>
      <c r="R78" s="98">
        <f t="shared" si="24"/>
        <v>11.762707425762301</v>
      </c>
      <c r="S78" s="98">
        <f t="shared" si="25"/>
        <v>1184.7046246599164</v>
      </c>
      <c r="T78" s="98">
        <f t="shared" si="26"/>
        <v>0</v>
      </c>
      <c r="U78" s="113">
        <f t="shared" si="27"/>
        <v>43.895833400795397</v>
      </c>
      <c r="V78" s="113">
        <f t="shared" si="28"/>
        <v>1184.7046246599164</v>
      </c>
      <c r="W78" s="113">
        <f t="shared" si="29"/>
        <v>11.762707425762301</v>
      </c>
      <c r="X78" s="178">
        <f>I78*(References!$C$55/References!$G$58)</f>
        <v>11.762707425762356</v>
      </c>
      <c r="Y78" s="98">
        <f t="shared" si="17"/>
        <v>-5.5067062021407764E-14</v>
      </c>
    </row>
    <row r="79" spans="1:31">
      <c r="A79" s="263"/>
      <c r="B79" s="134">
        <v>37</v>
      </c>
      <c r="C79" s="1" t="s">
        <v>144</v>
      </c>
      <c r="D79" s="81">
        <f>+VLOOKUP(C79,'Whitman Reg - Price Out'!B:G,6,FALSE)</f>
        <v>4.9166666666666652</v>
      </c>
      <c r="E79" s="90">
        <f>+References!B12</f>
        <v>1</v>
      </c>
      <c r="F79" s="81">
        <f>D79*E79*References!$B$50</f>
        <v>58.999999999999986</v>
      </c>
      <c r="G79" s="81">
        <f>+References!B33</f>
        <v>473</v>
      </c>
      <c r="H79" s="81">
        <f t="shared" si="14"/>
        <v>27906.999999999993</v>
      </c>
      <c r="I79" s="81">
        <f t="shared" si="66"/>
        <v>18392.485156490016</v>
      </c>
      <c r="J79" s="98">
        <f>I79*References!$C$55</f>
        <v>36.784970312980064</v>
      </c>
      <c r="K79" s="98">
        <f>J79/References!$G$58</f>
        <v>37.539514555546553</v>
      </c>
      <c r="L79" s="98">
        <f t="shared" si="52"/>
        <v>0.63626295856858583</v>
      </c>
      <c r="M79" s="98">
        <f>+'Proposed Rates'!B54</f>
        <v>58.36</v>
      </c>
      <c r="N79" s="98">
        <f t="shared" si="16"/>
        <v>58.996262958568586</v>
      </c>
      <c r="O79" s="98">
        <f>+'Proposed Rates'!D54</f>
        <v>58.996262958568586</v>
      </c>
      <c r="P79" s="98">
        <f t="shared" si="22"/>
        <v>3443.2399999999993</v>
      </c>
      <c r="Q79" s="98">
        <f t="shared" si="23"/>
        <v>3480.7795145555456</v>
      </c>
      <c r="R79" s="98">
        <f t="shared" si="24"/>
        <v>37.539514555546248</v>
      </c>
      <c r="S79" s="98">
        <f t="shared" si="25"/>
        <v>3480.7795145555456</v>
      </c>
      <c r="T79" s="98">
        <f t="shared" si="26"/>
        <v>0</v>
      </c>
      <c r="U79" s="113">
        <f t="shared" si="27"/>
        <v>58.996262958568586</v>
      </c>
      <c r="V79" s="113">
        <f t="shared" si="28"/>
        <v>3480.7795145555456</v>
      </c>
      <c r="W79" s="113">
        <f t="shared" si="29"/>
        <v>37.539514555546248</v>
      </c>
      <c r="X79" s="178">
        <f>I79*(References!$C$55/References!$G$58)</f>
        <v>37.539514555546546</v>
      </c>
      <c r="Y79" s="98">
        <f t="shared" si="17"/>
        <v>-2.9842794901924208E-13</v>
      </c>
    </row>
    <row r="80" spans="1:31">
      <c r="A80" s="263"/>
      <c r="B80" s="134">
        <v>37</v>
      </c>
      <c r="C80" s="1" t="s">
        <v>146</v>
      </c>
      <c r="D80" s="81">
        <f>+VLOOKUP(C80,'Whitman Reg - Price Out'!B:G,6,FALSE)</f>
        <v>9.9583271393885333</v>
      </c>
      <c r="E80" s="90">
        <f>+References!B12</f>
        <v>1</v>
      </c>
      <c r="F80" s="81">
        <f>D80*E80*References!$B$50</f>
        <v>119.4999256726624</v>
      </c>
      <c r="G80" s="81">
        <f>+References!B35</f>
        <v>613</v>
      </c>
      <c r="H80" s="81">
        <f t="shared" si="14"/>
        <v>73253.45443734205</v>
      </c>
      <c r="I80" s="81">
        <f t="shared" si="66"/>
        <v>48278.678231283615</v>
      </c>
      <c r="J80" s="98">
        <f>I80*References!$C$55</f>
        <v>96.557356462567313</v>
      </c>
      <c r="K80" s="98">
        <f>J80/References!$G$58</f>
        <v>98.537969652584252</v>
      </c>
      <c r="L80" s="98">
        <f t="shared" si="52"/>
        <v>0.82458603298634903</v>
      </c>
      <c r="M80" s="98">
        <f>+'Proposed Rates'!B55</f>
        <v>76.569999999999993</v>
      </c>
      <c r="N80" s="98">
        <f t="shared" si="16"/>
        <v>77.394586032986339</v>
      </c>
      <c r="O80" s="98">
        <f>+'Proposed Rates'!D55</f>
        <v>77.394586032986339</v>
      </c>
      <c r="P80" s="98">
        <f t="shared" si="22"/>
        <v>9150.1093087557583</v>
      </c>
      <c r="Q80" s="98">
        <f t="shared" si="23"/>
        <v>9248.6472784083435</v>
      </c>
      <c r="R80" s="98">
        <f t="shared" si="24"/>
        <v>98.537969652585161</v>
      </c>
      <c r="S80" s="98">
        <f t="shared" si="25"/>
        <v>9248.6472784083435</v>
      </c>
      <c r="T80" s="98">
        <f t="shared" si="26"/>
        <v>0</v>
      </c>
      <c r="U80" s="113">
        <f t="shared" si="27"/>
        <v>77.394586032986339</v>
      </c>
      <c r="V80" s="113">
        <f t="shared" si="28"/>
        <v>9248.6472784083435</v>
      </c>
      <c r="W80" s="113">
        <f t="shared" si="29"/>
        <v>98.537969652585161</v>
      </c>
      <c r="X80" s="178">
        <f>I80*(References!$C$55/References!$G$58)</f>
        <v>98.537969652584252</v>
      </c>
      <c r="Y80" s="98">
        <f t="shared" si="17"/>
        <v>9.0949470177292824E-13</v>
      </c>
    </row>
    <row r="81" spans="1:31">
      <c r="A81" s="263"/>
      <c r="B81" s="134">
        <v>30</v>
      </c>
      <c r="C81" s="1" t="s">
        <v>148</v>
      </c>
      <c r="D81" s="81">
        <f>+VLOOKUP(C81,'Whitman Reg - Price Out'!B:G,6,FALSE)</f>
        <v>32.363570741097206</v>
      </c>
      <c r="E81" s="90">
        <f>+References!B12</f>
        <v>1</v>
      </c>
      <c r="F81" s="81">
        <f>D81*E81*References!$B$50</f>
        <v>388.36284889316647</v>
      </c>
      <c r="G81" s="81">
        <f>+References!B48</f>
        <v>125</v>
      </c>
      <c r="H81" s="81">
        <f t="shared" si="14"/>
        <v>48545.356111645808</v>
      </c>
      <c r="I81" s="81">
        <f t="shared" si="66"/>
        <v>31994.472415521828</v>
      </c>
      <c r="J81" s="98">
        <f>I81*References!$C$55</f>
        <v>63.98894483104371</v>
      </c>
      <c r="K81" s="98">
        <f>J81/References!$G$58</f>
        <v>65.301505083216355</v>
      </c>
      <c r="L81" s="98">
        <f t="shared" si="52"/>
        <v>0.16814560215871716</v>
      </c>
      <c r="M81" s="98">
        <f>+'Proposed Rates'!B27</f>
        <v>23.65</v>
      </c>
      <c r="N81" s="98">
        <f t="shared" si="16"/>
        <v>23.818145602158715</v>
      </c>
      <c r="O81" s="98">
        <f>+'Proposed Rates'!D27</f>
        <v>23.818145602158715</v>
      </c>
      <c r="P81" s="98">
        <f t="shared" si="22"/>
        <v>9184.7813763233862</v>
      </c>
      <c r="Q81" s="98">
        <f t="shared" si="23"/>
        <v>9250.0828814066026</v>
      </c>
      <c r="R81" s="98">
        <f t="shared" si="24"/>
        <v>65.301505083216398</v>
      </c>
      <c r="S81" s="98">
        <f t="shared" si="25"/>
        <v>9250.0828814066026</v>
      </c>
      <c r="T81" s="98">
        <f t="shared" si="26"/>
        <v>0</v>
      </c>
      <c r="U81" s="113">
        <f t="shared" si="27"/>
        <v>23.818145602158715</v>
      </c>
      <c r="V81" s="113">
        <f t="shared" si="28"/>
        <v>9250.0828814066026</v>
      </c>
      <c r="W81" s="113">
        <f t="shared" si="29"/>
        <v>65.301505083216398</v>
      </c>
      <c r="X81" s="178">
        <f>I81*(References!$C$55/References!$G$58)</f>
        <v>65.301505083216355</v>
      </c>
      <c r="Y81" s="98">
        <f t="shared" si="17"/>
        <v>0</v>
      </c>
    </row>
    <row r="82" spans="1:31">
      <c r="A82" s="65"/>
      <c r="B82" s="63"/>
      <c r="C82" s="61" t="s">
        <v>0</v>
      </c>
      <c r="D82" s="82">
        <f>SUM(D25:D81)</f>
        <v>1079.8248552308339</v>
      </c>
      <c r="E82" s="91"/>
      <c r="F82" s="82">
        <f>SUM(F25:F81)</f>
        <v>44670.407400705793</v>
      </c>
      <c r="G82" s="83"/>
      <c r="H82" s="82">
        <f>SUM(H25:H81)</f>
        <v>9338997.6368284728</v>
      </c>
      <c r="I82" s="82">
        <f>SUM(I25:I81)</f>
        <v>6154992.4897646802</v>
      </c>
      <c r="J82" s="100"/>
      <c r="K82" s="100"/>
      <c r="L82" s="101"/>
      <c r="M82" s="101"/>
      <c r="N82" s="101"/>
      <c r="O82" s="101"/>
      <c r="P82" s="100">
        <f>SUM(P25:P81)</f>
        <v>1074840.8215562864</v>
      </c>
      <c r="Q82" s="100">
        <f>SUM(Q25:Q81)</f>
        <v>1087403.3122476537</v>
      </c>
      <c r="R82" s="100">
        <f>SUM(R25:R81)</f>
        <v>12562.490691366984</v>
      </c>
      <c r="S82" s="100">
        <f>SUM(S25:S81)</f>
        <v>1087403.3126059135</v>
      </c>
      <c r="T82" s="100">
        <f>SUM(T25:T81)</f>
        <v>-3.5825988308602064E-4</v>
      </c>
      <c r="U82" s="100"/>
      <c r="V82" s="100">
        <f>SUM(V25:V81)</f>
        <v>1087403.3126059135</v>
      </c>
      <c r="W82" s="100">
        <f>SUM(W25:W81)</f>
        <v>12562.491049626868</v>
      </c>
    </row>
    <row r="83" spans="1:31">
      <c r="C83" s="64" t="s">
        <v>423</v>
      </c>
      <c r="D83" s="85">
        <f>+D24+D82</f>
        <v>4783.6393101009635</v>
      </c>
      <c r="F83" s="85">
        <f>+F24+F82</f>
        <v>221408.02370729542</v>
      </c>
      <c r="H83" s="85">
        <f>+H24+H82</f>
        <v>18403507.528294496</v>
      </c>
      <c r="I83" s="85">
        <f>+I24+I82</f>
        <v>12129080.124753959</v>
      </c>
      <c r="P83" s="102">
        <f>+P24+P82</f>
        <v>2280188.677444627</v>
      </c>
      <c r="Q83" s="102">
        <f>+Q24+Q82</f>
        <v>2304943.6504225237</v>
      </c>
      <c r="R83" s="102">
        <f>+R24+R82</f>
        <v>24754.972977896214</v>
      </c>
      <c r="S83" s="102">
        <f>+S24+S82</f>
        <v>2304943.6507807835</v>
      </c>
      <c r="T83" s="102">
        <f>+T24+T82</f>
        <v>-3.5825988308602064E-4</v>
      </c>
      <c r="U83" s="102"/>
      <c r="V83" s="102">
        <f>+V24+V82</f>
        <v>2304944.4282860477</v>
      </c>
      <c r="W83" s="102">
        <f>+W24+W82</f>
        <v>24755.750841420482</v>
      </c>
    </row>
    <row r="85" spans="1:31">
      <c r="W85" s="1"/>
      <c r="Z85"/>
      <c r="AE85" s="1"/>
    </row>
    <row r="86" spans="1:31" ht="15" customHeight="1">
      <c r="A86" s="39"/>
      <c r="B86" s="40"/>
      <c r="C86" s="41" t="s">
        <v>327</v>
      </c>
      <c r="D86" s="86"/>
      <c r="E86" s="92"/>
      <c r="F86" s="42"/>
      <c r="G86" s="42"/>
      <c r="H86" s="42"/>
      <c r="I86" s="42"/>
      <c r="J86" s="103"/>
      <c r="K86" s="104"/>
      <c r="L86" s="104"/>
      <c r="M86" s="104"/>
      <c r="N86" s="104"/>
      <c r="O86" s="104"/>
      <c r="Q86" s="98" t="s">
        <v>253</v>
      </c>
      <c r="R86" s="98">
        <f>+R24</f>
        <v>12192.48228652923</v>
      </c>
      <c r="S86" s="60">
        <f>+R24/P24</f>
        <v>1.0115322499614336E-2</v>
      </c>
      <c r="W86" s="1"/>
      <c r="Z86"/>
      <c r="AE86" s="1"/>
    </row>
    <row r="87" spans="1:31">
      <c r="A87" s="263" t="s">
        <v>438</v>
      </c>
      <c r="B87" s="134">
        <v>26</v>
      </c>
      <c r="C87" s="44" t="s">
        <v>328</v>
      </c>
      <c r="D87" s="35">
        <v>0</v>
      </c>
      <c r="E87" s="93">
        <f>+References!B10</f>
        <v>4.333333333333333</v>
      </c>
      <c r="F87" s="34">
        <f>E87*References!$B$50</f>
        <v>52</v>
      </c>
      <c r="G87" s="34">
        <f>+References!B21</f>
        <v>117</v>
      </c>
      <c r="H87" s="34">
        <f>F87*G87/References!B50</f>
        <v>507</v>
      </c>
      <c r="I87" s="81">
        <f t="shared" ref="I87:I92" si="67">H87*$D$102</f>
        <v>334.14519562620279</v>
      </c>
      <c r="J87" s="98">
        <f>I87*References!$C$55</f>
        <v>0.66829039125240619</v>
      </c>
      <c r="K87" s="98">
        <f>J87/References!$G$58</f>
        <v>0.68199856235575695</v>
      </c>
      <c r="L87" s="98">
        <f>K87</f>
        <v>0.68199856235575695</v>
      </c>
      <c r="M87" s="105">
        <f>'Proposed Rates'!B15</f>
        <v>57.86</v>
      </c>
      <c r="N87" s="105">
        <f t="shared" ref="N87:N92" si="68">K87+M87</f>
        <v>58.541998562355758</v>
      </c>
      <c r="O87" s="105">
        <f>'Proposed Rates'!D15</f>
        <v>58.541998562355758</v>
      </c>
      <c r="Q87" s="98" t="s">
        <v>254</v>
      </c>
      <c r="R87" s="98">
        <f>+R82</f>
        <v>12562.490691366984</v>
      </c>
      <c r="S87" s="60">
        <f>+R82/P82</f>
        <v>1.1687768495038612E-2</v>
      </c>
      <c r="W87" s="1"/>
      <c r="Z87"/>
      <c r="AE87" s="1"/>
    </row>
    <row r="88" spans="1:31">
      <c r="A88" s="264"/>
      <c r="B88" s="134">
        <v>26</v>
      </c>
      <c r="C88" s="45" t="s">
        <v>329</v>
      </c>
      <c r="D88" s="87">
        <v>0</v>
      </c>
      <c r="E88" s="94">
        <f>+References!B10</f>
        <v>4.333333333333333</v>
      </c>
      <c r="F88" s="152">
        <f>E88*References!$B$50</f>
        <v>52</v>
      </c>
      <c r="G88" s="46">
        <f>+References!B22</f>
        <v>157</v>
      </c>
      <c r="H88" s="46">
        <f>F88*G88/References!$B$50</f>
        <v>680.33333333333337</v>
      </c>
      <c r="I88" s="46">
        <f t="shared" si="67"/>
        <v>448.38286934456272</v>
      </c>
      <c r="J88" s="98">
        <f>I88*References!$C$55</f>
        <v>0.89676573868912623</v>
      </c>
      <c r="K88" s="106">
        <f>J88/References!$G$58</f>
        <v>0.91516046401584472</v>
      </c>
      <c r="L88" s="106">
        <f>K88</f>
        <v>0.91516046401584472</v>
      </c>
      <c r="M88" s="107">
        <f>'Proposed Rates'!B16</f>
        <v>68.2</v>
      </c>
      <c r="N88" s="107">
        <f t="shared" si="68"/>
        <v>69.115160464015844</v>
      </c>
      <c r="O88" s="107">
        <f>'Proposed Rates'!D16</f>
        <v>69.115160464015844</v>
      </c>
      <c r="Q88" s="98" t="s">
        <v>0</v>
      </c>
      <c r="R88" s="109">
        <f>SUM(R86:R87)</f>
        <v>24754.972977896214</v>
      </c>
      <c r="W88" s="1"/>
      <c r="Z88"/>
      <c r="AE88" s="1"/>
    </row>
    <row r="89" spans="1:31">
      <c r="A89" s="263" t="s">
        <v>441</v>
      </c>
      <c r="B89" s="144">
        <v>38</v>
      </c>
      <c r="C89" s="47" t="s">
        <v>313</v>
      </c>
      <c r="D89" s="88">
        <v>0</v>
      </c>
      <c r="E89" s="95">
        <v>1</v>
      </c>
      <c r="F89" s="48">
        <f t="shared" ref="F89:F92" si="69">E89*12</f>
        <v>12</v>
      </c>
      <c r="G89" s="49">
        <f>+References!B23</f>
        <v>47</v>
      </c>
      <c r="H89" s="48">
        <f>F89*G89/References!$B$50</f>
        <v>47</v>
      </c>
      <c r="I89" s="48">
        <f t="shared" si="67"/>
        <v>30.975984604401443</v>
      </c>
      <c r="J89" s="109">
        <f>References!$C$55*I89</f>
        <v>6.1951969208802943E-2</v>
      </c>
      <c r="K89" s="110">
        <v>6.3169562526501258E-2</v>
      </c>
      <c r="L89" s="109">
        <f t="shared" ref="L89:L92" si="70">K89</f>
        <v>6.3169562526501258E-2</v>
      </c>
      <c r="M89" s="110">
        <f>'Proposed Rates'!B64</f>
        <v>9.0399999999999991</v>
      </c>
      <c r="N89" s="110">
        <f t="shared" si="68"/>
        <v>9.1031695625265012</v>
      </c>
      <c r="O89" s="110">
        <f>'Proposed Rates'!D64</f>
        <v>9.1031695625265012</v>
      </c>
      <c r="W89" s="1"/>
      <c r="Z89"/>
      <c r="AE89" s="1"/>
    </row>
    <row r="90" spans="1:31">
      <c r="A90" s="263"/>
      <c r="B90" s="32">
        <v>38</v>
      </c>
      <c r="C90" s="50" t="s">
        <v>330</v>
      </c>
      <c r="D90" s="35">
        <v>0</v>
      </c>
      <c r="E90" s="96">
        <v>1</v>
      </c>
      <c r="F90" s="34">
        <f t="shared" si="69"/>
        <v>12</v>
      </c>
      <c r="G90" s="154">
        <f>+References!B23</f>
        <v>47</v>
      </c>
      <c r="H90" s="34">
        <f>F90*G90/References!$B$50</f>
        <v>47</v>
      </c>
      <c r="I90" s="34">
        <f t="shared" si="67"/>
        <v>30.975984604401443</v>
      </c>
      <c r="J90" s="108">
        <f>References!$C$55*I90</f>
        <v>6.1951969208802943E-2</v>
      </c>
      <c r="K90" s="105">
        <v>6.3169562526501258E-2</v>
      </c>
      <c r="L90" s="108">
        <f t="shared" si="70"/>
        <v>6.3169562526501258E-2</v>
      </c>
      <c r="M90" s="105">
        <f>'Proposed Rates'!B65</f>
        <v>18.05</v>
      </c>
      <c r="N90" s="105">
        <f t="shared" si="68"/>
        <v>18.113169562526501</v>
      </c>
      <c r="O90" s="105">
        <f>'Proposed Rates'!D65</f>
        <v>18.113169562526501</v>
      </c>
      <c r="Q90" s="98" t="s">
        <v>439</v>
      </c>
      <c r="R90" s="98">
        <f>+'Disposal Schedule'!C22/References!B53*References!B55</f>
        <v>3191.5573584905655</v>
      </c>
      <c r="S90" s="60">
        <f>+References!D55</f>
        <v>3.7735849056603772E-2</v>
      </c>
      <c r="W90" s="1"/>
      <c r="Z90"/>
      <c r="AE90" s="1"/>
    </row>
    <row r="91" spans="1:31">
      <c r="A91" s="263"/>
      <c r="B91" s="32">
        <v>38</v>
      </c>
      <c r="C91" s="52" t="s">
        <v>314</v>
      </c>
      <c r="D91" s="35">
        <v>0</v>
      </c>
      <c r="E91" s="96">
        <v>1</v>
      </c>
      <c r="F91" s="34">
        <f t="shared" si="69"/>
        <v>12</v>
      </c>
      <c r="G91" s="51">
        <f>+References!B24</f>
        <v>68</v>
      </c>
      <c r="H91" s="34">
        <f>F91*G91/References!$B$50</f>
        <v>68</v>
      </c>
      <c r="I91" s="34">
        <f t="shared" si="67"/>
        <v>44.816318151048897</v>
      </c>
      <c r="J91" s="108">
        <f>References!$C$55*I91</f>
        <v>8.9632636302097876E-2</v>
      </c>
      <c r="K91" s="105">
        <v>9.1394260676640124E-2</v>
      </c>
      <c r="L91" s="108">
        <f t="shared" si="70"/>
        <v>9.1394260676640124E-2</v>
      </c>
      <c r="M91" s="105">
        <f>'Proposed Rates'!B68</f>
        <v>10.81</v>
      </c>
      <c r="N91" s="105">
        <f t="shared" si="68"/>
        <v>10.901394260676641</v>
      </c>
      <c r="O91" s="105">
        <f>'Proposed Rates'!D68</f>
        <v>10.901394260676641</v>
      </c>
      <c r="W91" s="1"/>
      <c r="Z91"/>
      <c r="AE91" s="1"/>
    </row>
    <row r="92" spans="1:31">
      <c r="A92" s="263"/>
      <c r="B92" s="32">
        <v>38</v>
      </c>
      <c r="C92" s="52" t="s">
        <v>331</v>
      </c>
      <c r="D92" s="151">
        <v>0</v>
      </c>
      <c r="E92" s="155">
        <v>1</v>
      </c>
      <c r="F92" s="152">
        <f t="shared" si="69"/>
        <v>12</v>
      </c>
      <c r="G92" s="154">
        <f>+References!B24</f>
        <v>68</v>
      </c>
      <c r="H92" s="152">
        <f>F92*G92/References!$B$50</f>
        <v>68</v>
      </c>
      <c r="I92" s="152">
        <f t="shared" si="67"/>
        <v>44.816318151048897</v>
      </c>
      <c r="J92" s="108">
        <f>References!$C$55*I92</f>
        <v>8.9632636302097876E-2</v>
      </c>
      <c r="K92" s="105">
        <v>9.1394260676640124E-2</v>
      </c>
      <c r="L92" s="108">
        <f t="shared" si="70"/>
        <v>9.1394260676640124E-2</v>
      </c>
      <c r="M92" s="105">
        <f>'Proposed Rates'!B69</f>
        <v>21.57</v>
      </c>
      <c r="N92" s="105">
        <f t="shared" si="68"/>
        <v>21.661394260676641</v>
      </c>
      <c r="O92" s="105">
        <f>'Proposed Rates'!D69</f>
        <v>21.661394260676641</v>
      </c>
      <c r="Q92" s="98" t="s">
        <v>250</v>
      </c>
      <c r="R92" s="98">
        <f>+R88+R90</f>
        <v>27946.530336386779</v>
      </c>
      <c r="W92" s="1"/>
      <c r="Z92"/>
      <c r="AE92" s="1"/>
    </row>
    <row r="93" spans="1:31">
      <c r="A93" s="169"/>
      <c r="B93" s="153"/>
      <c r="C93" s="52"/>
      <c r="D93" s="151"/>
      <c r="E93" s="155"/>
      <c r="F93" s="152"/>
      <c r="G93" s="154"/>
      <c r="H93" s="152"/>
      <c r="I93" s="152"/>
      <c r="J93" s="111"/>
      <c r="K93" s="105"/>
      <c r="L93" s="105"/>
      <c r="M93" s="105"/>
      <c r="N93" s="105"/>
      <c r="O93" s="105"/>
      <c r="W93" s="1"/>
      <c r="Z93"/>
      <c r="AE93" s="1"/>
    </row>
    <row r="94" spans="1:31">
      <c r="A94" s="55"/>
      <c r="B94" s="43"/>
      <c r="C94" s="52"/>
      <c r="D94" s="35"/>
      <c r="E94" s="96"/>
      <c r="F94" s="34"/>
      <c r="G94" s="51"/>
      <c r="H94" s="34"/>
      <c r="I94" s="34"/>
      <c r="J94" s="111"/>
      <c r="K94" s="105"/>
      <c r="L94" s="105"/>
      <c r="M94" s="105"/>
      <c r="N94" s="105"/>
      <c r="O94" s="105"/>
      <c r="P94" s="111"/>
    </row>
    <row r="95" spans="1:31" customFormat="1">
      <c r="D95" s="81"/>
      <c r="E95" s="90"/>
      <c r="F95" s="81"/>
      <c r="G95" s="81"/>
      <c r="H95" s="81"/>
      <c r="I95" s="81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</row>
    <row r="97" spans="3:6">
      <c r="C97" s="262" t="s">
        <v>268</v>
      </c>
      <c r="D97" s="262"/>
      <c r="E97" s="97"/>
      <c r="F97" s="89"/>
    </row>
    <row r="98" spans="3:6">
      <c r="C98" s="15"/>
      <c r="D98" s="33" t="s">
        <v>0</v>
      </c>
    </row>
    <row r="99" spans="3:6">
      <c r="C99" s="15" t="s">
        <v>269</v>
      </c>
      <c r="D99" s="158">
        <f>References!B60</f>
        <v>6064.5400623769829</v>
      </c>
    </row>
    <row r="100" spans="3:6">
      <c r="C100" s="15" t="s">
        <v>270</v>
      </c>
      <c r="D100" s="35">
        <f>D99*References!G19</f>
        <v>12129080.124753965</v>
      </c>
    </row>
    <row r="101" spans="3:6" ht="15" customHeight="1">
      <c r="C101" s="15" t="s">
        <v>271</v>
      </c>
      <c r="D101" s="35">
        <f>+F83</f>
        <v>221408.02370729542</v>
      </c>
    </row>
    <row r="102" spans="3:6">
      <c r="C102" s="21" t="s">
        <v>272</v>
      </c>
      <c r="D102" s="150">
        <f>D100/H83</f>
        <v>0.65906350222130727</v>
      </c>
    </row>
  </sheetData>
  <mergeCells count="6">
    <mergeCell ref="C97:D97"/>
    <mergeCell ref="A87:A88"/>
    <mergeCell ref="A89:A92"/>
    <mergeCell ref="A6:A23"/>
    <mergeCell ref="A25:A53"/>
    <mergeCell ref="A54:A81"/>
  </mergeCells>
  <printOptions horizontalCentered="1" verticalCentered="1"/>
  <pageMargins left="0.5" right="0.5" top="0.5" bottom="0.5" header="0.3" footer="0.3"/>
  <pageSetup scale="42" fitToHeight="0" orientation="landscape" r:id="rId1"/>
  <headerFooter>
    <oddFooter>&amp;L&amp;F - &amp;A&amp;R&amp;P of &amp;N</oddFooter>
  </headerFooter>
  <rowBreaks count="1" manualBreakCount="1">
    <brk id="53" max="2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view="pageBreakPreview" topLeftCell="A46" zoomScale="60" zoomScaleNormal="85" workbookViewId="0">
      <selection activeCell="R31" sqref="R31"/>
    </sheetView>
  </sheetViews>
  <sheetFormatPr defaultRowHeight="15"/>
  <cols>
    <col min="1" max="1" width="26.28515625" style="1" customWidth="1"/>
    <col min="2" max="2" width="14" style="148" customWidth="1"/>
    <col min="3" max="3" width="12.28515625" style="148" customWidth="1"/>
    <col min="4" max="4" width="12" style="148" customWidth="1"/>
    <col min="5" max="16384" width="9.140625" style="1"/>
  </cols>
  <sheetData>
    <row r="1" spans="1:6">
      <c r="A1" s="146" t="s">
        <v>404</v>
      </c>
      <c r="C1" s="80"/>
    </row>
    <row r="2" spans="1:6">
      <c r="A2" s="37" t="s">
        <v>489</v>
      </c>
    </row>
    <row r="3" spans="1:6">
      <c r="A3" s="7"/>
    </row>
    <row r="4" spans="1:6" customFormat="1">
      <c r="A4" s="147" t="s">
        <v>327</v>
      </c>
      <c r="B4" s="148"/>
      <c r="C4" s="148"/>
      <c r="D4" s="148"/>
    </row>
    <row r="5" spans="1:6" customFormat="1" ht="45">
      <c r="B5" s="163" t="s">
        <v>424</v>
      </c>
      <c r="C5" s="163" t="s">
        <v>425</v>
      </c>
      <c r="D5" s="163" t="s">
        <v>491</v>
      </c>
    </row>
    <row r="6" spans="1:6">
      <c r="A6" s="7" t="s">
        <v>427</v>
      </c>
    </row>
    <row r="7" spans="1:6">
      <c r="A7" s="1" t="s">
        <v>273</v>
      </c>
      <c r="B7" s="148">
        <v>4.74</v>
      </c>
      <c r="C7" s="148">
        <f>'Whitman DF Calc'!L21</f>
        <v>4.5735603787171078E-2</v>
      </c>
      <c r="D7" s="148">
        <f>SUM(B7:C7)</f>
        <v>4.7857356037871712</v>
      </c>
      <c r="F7" s="60"/>
    </row>
    <row r="8" spans="1:6">
      <c r="F8" s="60"/>
    </row>
    <row r="9" spans="1:6">
      <c r="A9" s="7" t="s">
        <v>428</v>
      </c>
      <c r="F9" s="60"/>
    </row>
    <row r="10" spans="1:6">
      <c r="A10" s="1" t="s">
        <v>274</v>
      </c>
      <c r="B10" s="148">
        <v>16.239999999999998</v>
      </c>
      <c r="C10" s="148">
        <f>'Whitman DF Calc'!L6</f>
        <v>0.1165809508300439</v>
      </c>
      <c r="D10" s="148">
        <f t="shared" ref="D10:D66" si="0">SUM(B10:C10)</f>
        <v>16.356580950830043</v>
      </c>
      <c r="F10" s="60"/>
    </row>
    <row r="11" spans="1:6">
      <c r="A11" s="1" t="s">
        <v>275</v>
      </c>
      <c r="B11" s="148">
        <v>20.72</v>
      </c>
      <c r="C11" s="148">
        <f>'Whitman DF Calc'!L8</f>
        <v>0.19818761641107466</v>
      </c>
      <c r="D11" s="148">
        <f t="shared" si="0"/>
        <v>20.918187616411075</v>
      </c>
      <c r="F11" s="60"/>
    </row>
    <row r="12" spans="1:6">
      <c r="A12" s="1" t="s">
        <v>276</v>
      </c>
      <c r="B12" s="148">
        <v>27.54</v>
      </c>
      <c r="C12" s="148">
        <f>'Whitman DF Calc'!L9</f>
        <v>0.29728142461661189</v>
      </c>
      <c r="D12" s="148">
        <f t="shared" si="0"/>
        <v>27.837281424616609</v>
      </c>
      <c r="F12" s="60"/>
    </row>
    <row r="13" spans="1:6">
      <c r="A13" s="1" t="s">
        <v>277</v>
      </c>
      <c r="B13" s="148">
        <v>36.549999999999997</v>
      </c>
      <c r="C13" s="148">
        <f>'Whitman DF Calc'!L10</f>
        <v>0.44883666069566902</v>
      </c>
      <c r="D13" s="148">
        <f t="shared" si="0"/>
        <v>36.998836660695666</v>
      </c>
      <c r="F13" s="60"/>
    </row>
    <row r="14" spans="1:6">
      <c r="A14" s="1" t="s">
        <v>278</v>
      </c>
      <c r="B14" s="148">
        <v>47.73</v>
      </c>
      <c r="C14" s="148">
        <f>'Whitman DF Calc'!L11</f>
        <v>0.5654176115257129</v>
      </c>
      <c r="D14" s="148">
        <f t="shared" si="0"/>
        <v>48.295417611525707</v>
      </c>
      <c r="F14" s="60"/>
    </row>
    <row r="15" spans="1:6">
      <c r="A15" s="53" t="s">
        <v>279</v>
      </c>
      <c r="B15" s="79">
        <v>57.86</v>
      </c>
      <c r="C15" s="79">
        <f>'Whitman DF Calc'!L87</f>
        <v>0.68199856235575695</v>
      </c>
      <c r="D15" s="79">
        <f t="shared" si="0"/>
        <v>58.541998562355758</v>
      </c>
      <c r="F15" s="60"/>
    </row>
    <row r="16" spans="1:6">
      <c r="A16" s="53" t="s">
        <v>280</v>
      </c>
      <c r="B16" s="79">
        <v>68.2</v>
      </c>
      <c r="C16" s="79">
        <f>'Whitman DF Calc'!L88</f>
        <v>0.91516046401584472</v>
      </c>
      <c r="D16" s="79">
        <f t="shared" si="0"/>
        <v>69.115160464015844</v>
      </c>
      <c r="F16" s="60"/>
    </row>
    <row r="17" spans="1:6">
      <c r="A17" s="1" t="s">
        <v>281</v>
      </c>
      <c r="B17" s="148">
        <v>29.49</v>
      </c>
      <c r="C17" s="148">
        <f>'Whitman DF Calc'!L12</f>
        <v>0.27396523445060317</v>
      </c>
      <c r="D17" s="148">
        <f t="shared" si="0"/>
        <v>29.763965234450602</v>
      </c>
      <c r="F17" s="60"/>
    </row>
    <row r="18" spans="1:6">
      <c r="A18" s="1" t="s">
        <v>282</v>
      </c>
      <c r="B18" s="148">
        <v>36.49</v>
      </c>
      <c r="C18" s="148">
        <f>'Whitman DF Calc'!L15</f>
        <v>0.39637523282214937</v>
      </c>
      <c r="D18" s="148">
        <f t="shared" si="0"/>
        <v>36.886375232822154</v>
      </c>
      <c r="F18" s="60"/>
    </row>
    <row r="19" spans="1:6">
      <c r="A19" s="1" t="s">
        <v>283</v>
      </c>
      <c r="B19" s="148">
        <v>13.05</v>
      </c>
      <c r="C19" s="148">
        <f>'Whitman DF Calc'!L7</f>
        <v>4.5735603787171078E-2</v>
      </c>
      <c r="D19" s="148">
        <f t="shared" si="0"/>
        <v>13.095735603787173</v>
      </c>
      <c r="F19" s="60"/>
    </row>
    <row r="20" spans="1:6">
      <c r="F20" s="60"/>
    </row>
    <row r="21" spans="1:6">
      <c r="A21" s="7" t="s">
        <v>429</v>
      </c>
      <c r="F21" s="60"/>
    </row>
    <row r="22" spans="1:6">
      <c r="A22" s="1" t="s">
        <v>284</v>
      </c>
      <c r="B22" s="148">
        <v>4.74</v>
      </c>
      <c r="C22" s="148">
        <f>'Whitman DF Calc'!L19</f>
        <v>4.5735603787171078E-2</v>
      </c>
      <c r="D22" s="148">
        <f t="shared" si="0"/>
        <v>4.7857356037871712</v>
      </c>
      <c r="F22" s="60"/>
    </row>
    <row r="23" spans="1:6">
      <c r="A23" s="1" t="s">
        <v>285</v>
      </c>
      <c r="B23" s="148">
        <v>4.74</v>
      </c>
      <c r="C23" s="148">
        <f>'Whitman DF Calc'!L19</f>
        <v>4.5735603787171078E-2</v>
      </c>
      <c r="D23" s="148">
        <f t="shared" si="0"/>
        <v>4.7857356037871712</v>
      </c>
      <c r="F23" s="60"/>
    </row>
    <row r="24" spans="1:6">
      <c r="A24" s="1" t="s">
        <v>286</v>
      </c>
      <c r="B24" s="148">
        <v>14.35</v>
      </c>
      <c r="C24" s="148">
        <f>'Whitman DF Calc'!L17</f>
        <v>4.5735603787171071E-2</v>
      </c>
      <c r="D24" s="148">
        <f t="shared" si="0"/>
        <v>14.395735603787172</v>
      </c>
      <c r="F24" s="60"/>
    </row>
    <row r="25" spans="1:6">
      <c r="F25" s="60"/>
    </row>
    <row r="26" spans="1:6">
      <c r="A26" s="7" t="s">
        <v>430</v>
      </c>
      <c r="F26" s="60"/>
    </row>
    <row r="27" spans="1:6">
      <c r="A27" s="1" t="s">
        <v>287</v>
      </c>
      <c r="B27" s="148">
        <v>23.65</v>
      </c>
      <c r="C27" s="148">
        <f>'Whitman DF Calc'!L23</f>
        <v>0.16814560215871718</v>
      </c>
      <c r="D27" s="148">
        <f t="shared" si="0"/>
        <v>23.818145602158715</v>
      </c>
      <c r="F27" s="60"/>
    </row>
    <row r="28" spans="1:6">
      <c r="A28" s="1" t="s">
        <v>288</v>
      </c>
      <c r="B28" s="148">
        <v>23.65</v>
      </c>
      <c r="C28" s="148">
        <f>'Whitman DF Calc'!L23</f>
        <v>0.16814560215871718</v>
      </c>
      <c r="D28" s="148">
        <f t="shared" si="0"/>
        <v>23.818145602158715</v>
      </c>
      <c r="F28" s="60"/>
    </row>
    <row r="29" spans="1:6">
      <c r="A29" s="1" t="s">
        <v>289</v>
      </c>
      <c r="B29" s="148">
        <v>23.65</v>
      </c>
      <c r="C29" s="148">
        <f>'Whitman DF Calc'!L23</f>
        <v>0.16814560215871718</v>
      </c>
      <c r="D29" s="148">
        <f t="shared" si="0"/>
        <v>23.818145602158715</v>
      </c>
      <c r="F29" s="60"/>
    </row>
    <row r="30" spans="1:6">
      <c r="F30" s="60"/>
    </row>
    <row r="31" spans="1:6">
      <c r="A31" s="7" t="s">
        <v>431</v>
      </c>
      <c r="F31" s="60"/>
    </row>
    <row r="32" spans="1:6">
      <c r="A32" s="1" t="s">
        <v>323</v>
      </c>
      <c r="B32" s="148">
        <v>106</v>
      </c>
      <c r="C32" s="148">
        <f>References!B55</f>
        <v>4</v>
      </c>
      <c r="D32" s="148">
        <f t="shared" si="0"/>
        <v>110</v>
      </c>
      <c r="F32" s="60"/>
    </row>
    <row r="33" spans="1:6">
      <c r="F33" s="60"/>
    </row>
    <row r="34" spans="1:6">
      <c r="A34" s="7" t="s">
        <v>432</v>
      </c>
      <c r="F34" s="60"/>
    </row>
    <row r="35" spans="1:6">
      <c r="A35" s="1" t="s">
        <v>290</v>
      </c>
      <c r="B35" s="148">
        <v>17.93</v>
      </c>
      <c r="C35" s="148">
        <f>'Whitman DF Calc'!L25</f>
        <v>0.2354038430222041</v>
      </c>
      <c r="D35" s="148">
        <f t="shared" si="0"/>
        <v>18.165403843022204</v>
      </c>
      <c r="F35" s="60"/>
    </row>
    <row r="36" spans="1:6">
      <c r="A36" s="1" t="s">
        <v>291</v>
      </c>
      <c r="B36" s="148">
        <v>27.02</v>
      </c>
      <c r="C36" s="148">
        <f>'Whitman DF Calc'!L29</f>
        <v>0.33629120431743431</v>
      </c>
      <c r="D36" s="148">
        <f t="shared" si="0"/>
        <v>27.356291204317433</v>
      </c>
      <c r="F36" s="60"/>
    </row>
    <row r="37" spans="1:6">
      <c r="A37" s="1" t="s">
        <v>292</v>
      </c>
      <c r="B37" s="148">
        <v>36.020000000000003</v>
      </c>
      <c r="C37" s="148">
        <f>'Whitman DF Calc'!L35</f>
        <v>0.43583340079539495</v>
      </c>
      <c r="D37" s="148">
        <f t="shared" si="0"/>
        <v>36.455833400795399</v>
      </c>
      <c r="F37" s="60"/>
    </row>
    <row r="38" spans="1:6">
      <c r="A38" s="1" t="s">
        <v>293</v>
      </c>
      <c r="B38" s="148">
        <v>50.94</v>
      </c>
      <c r="C38" s="148">
        <f>'Whitman DF Calc'!L39</f>
        <v>0.63626295856858583</v>
      </c>
      <c r="D38" s="148">
        <f t="shared" si="0"/>
        <v>51.576262958568584</v>
      </c>
      <c r="F38" s="60"/>
    </row>
    <row r="39" spans="1:6">
      <c r="A39" s="1" t="s">
        <v>294</v>
      </c>
      <c r="B39" s="148">
        <v>67.650000000000006</v>
      </c>
      <c r="C39" s="148">
        <f>'Whitman DF Calc'!L44</f>
        <v>0.82458603298634914</v>
      </c>
      <c r="D39" s="148">
        <f t="shared" si="0"/>
        <v>68.474586032986352</v>
      </c>
      <c r="F39" s="60"/>
    </row>
    <row r="40" spans="1:6">
      <c r="A40" s="1" t="s">
        <v>295</v>
      </c>
      <c r="B40" s="148">
        <v>98.52</v>
      </c>
      <c r="C40" s="148">
        <f>'Whitman DF Calc'!L49</f>
        <v>1.1299384465065794</v>
      </c>
      <c r="D40" s="148">
        <f t="shared" si="0"/>
        <v>99.649938446506582</v>
      </c>
      <c r="F40" s="60"/>
    </row>
    <row r="41" spans="1:6">
      <c r="A41" s="1" t="s">
        <v>296</v>
      </c>
      <c r="B41" s="148">
        <v>128.22999999999999</v>
      </c>
      <c r="C41" s="148">
        <f>'Whitman DF Calc'!L54</f>
        <v>1.3182615209243427</v>
      </c>
      <c r="D41" s="148">
        <f t="shared" si="0"/>
        <v>129.54826152092434</v>
      </c>
      <c r="F41" s="60"/>
    </row>
    <row r="42" spans="1:6">
      <c r="F42" s="60"/>
    </row>
    <row r="43" spans="1:6">
      <c r="A43" s="1" t="s">
        <v>297</v>
      </c>
      <c r="B43" s="148">
        <v>43.44</v>
      </c>
      <c r="C43" s="148">
        <f>'Whitman DF Calc'!L25</f>
        <v>0.2354038430222041</v>
      </c>
      <c r="D43" s="148">
        <f t="shared" si="0"/>
        <v>43.675403843022202</v>
      </c>
      <c r="F43" s="60"/>
    </row>
    <row r="44" spans="1:6">
      <c r="A44" s="1" t="s">
        <v>298</v>
      </c>
      <c r="B44" s="148">
        <v>62.45</v>
      </c>
      <c r="C44" s="148">
        <f>'Whitman DF Calc'!L29</f>
        <v>0.33629120431743431</v>
      </c>
      <c r="D44" s="148">
        <f t="shared" si="0"/>
        <v>62.786291204317436</v>
      </c>
      <c r="F44" s="60"/>
    </row>
    <row r="45" spans="1:6">
      <c r="A45" s="1" t="s">
        <v>299</v>
      </c>
      <c r="B45" s="148">
        <v>73.569999999999993</v>
      </c>
      <c r="C45" s="148">
        <f>'Whitman DF Calc'!L35</f>
        <v>0.43583340079539495</v>
      </c>
      <c r="D45" s="148">
        <f t="shared" si="0"/>
        <v>74.005833400795382</v>
      </c>
      <c r="F45" s="60"/>
    </row>
    <row r="46" spans="1:6">
      <c r="A46" s="1" t="s">
        <v>300</v>
      </c>
      <c r="B46" s="148">
        <v>94.86</v>
      </c>
      <c r="C46" s="148">
        <f>'Whitman DF Calc'!L39</f>
        <v>0.63626295856858583</v>
      </c>
      <c r="D46" s="148">
        <f t="shared" si="0"/>
        <v>95.496262958568579</v>
      </c>
      <c r="F46" s="60"/>
    </row>
    <row r="47" spans="1:6">
      <c r="A47" s="1" t="s">
        <v>301</v>
      </c>
      <c r="B47" s="148">
        <v>117.51</v>
      </c>
      <c r="C47" s="148">
        <f>'Whitman DF Calc'!L44</f>
        <v>0.82458603298634914</v>
      </c>
      <c r="D47" s="148">
        <f t="shared" si="0"/>
        <v>118.33458603298635</v>
      </c>
      <c r="F47" s="60"/>
    </row>
    <row r="48" spans="1:6">
      <c r="A48" s="162" t="s">
        <v>302</v>
      </c>
      <c r="B48" s="200">
        <v>158.41</v>
      </c>
      <c r="C48" s="200">
        <f>'Whitman DF Calc'!L49</f>
        <v>1.1299384465065794</v>
      </c>
      <c r="D48" s="200">
        <f t="shared" si="0"/>
        <v>159.53993844650657</v>
      </c>
      <c r="F48" s="60"/>
    </row>
    <row r="49" spans="1:6">
      <c r="A49" s="162" t="s">
        <v>303</v>
      </c>
      <c r="B49" s="200">
        <v>200.51</v>
      </c>
      <c r="C49" s="200">
        <f>'Whitman DF Calc'!L54</f>
        <v>1.3182615209243427</v>
      </c>
      <c r="D49" s="200">
        <f t="shared" si="0"/>
        <v>201.82826152092434</v>
      </c>
      <c r="F49" s="60"/>
    </row>
    <row r="50" spans="1:6">
      <c r="A50" s="162"/>
      <c r="B50" s="200"/>
      <c r="C50" s="200"/>
      <c r="D50" s="200"/>
      <c r="F50" s="60"/>
    </row>
    <row r="51" spans="1:6">
      <c r="A51" s="1" t="s">
        <v>304</v>
      </c>
      <c r="B51" s="148">
        <v>20.9</v>
      </c>
      <c r="C51" s="148">
        <f>'Whitman DF Calc'!L25</f>
        <v>0.2354038430222041</v>
      </c>
      <c r="D51" s="148">
        <f t="shared" si="0"/>
        <v>21.135403843022203</v>
      </c>
      <c r="F51" s="60"/>
    </row>
    <row r="52" spans="1:6">
      <c r="A52" s="1" t="s">
        <v>305</v>
      </c>
      <c r="B52" s="148">
        <v>31.49</v>
      </c>
      <c r="C52" s="148">
        <f>'Whitman DF Calc'!L29</f>
        <v>0.33629120431743431</v>
      </c>
      <c r="D52" s="148">
        <f t="shared" si="0"/>
        <v>31.826291204317432</v>
      </c>
      <c r="F52" s="60"/>
    </row>
    <row r="53" spans="1:6">
      <c r="A53" s="1" t="s">
        <v>306</v>
      </c>
      <c r="B53" s="148">
        <v>43.46</v>
      </c>
      <c r="C53" s="148">
        <f>'Whitman DF Calc'!L35</f>
        <v>0.43583340079539495</v>
      </c>
      <c r="D53" s="148">
        <f t="shared" si="0"/>
        <v>43.895833400795397</v>
      </c>
      <c r="F53" s="60"/>
    </row>
    <row r="54" spans="1:6">
      <c r="A54" s="1" t="s">
        <v>307</v>
      </c>
      <c r="B54" s="148">
        <v>58.36</v>
      </c>
      <c r="C54" s="148">
        <f>'Whitman DF Calc'!L39</f>
        <v>0.63626295856858583</v>
      </c>
      <c r="D54" s="148">
        <f t="shared" si="0"/>
        <v>58.996262958568586</v>
      </c>
      <c r="F54" s="60"/>
    </row>
    <row r="55" spans="1:6">
      <c r="A55" s="1" t="s">
        <v>308</v>
      </c>
      <c r="B55" s="148">
        <v>76.569999999999993</v>
      </c>
      <c r="C55" s="148">
        <f>'Whitman DF Calc'!L44</f>
        <v>0.82458603298634914</v>
      </c>
      <c r="D55" s="148">
        <f t="shared" si="0"/>
        <v>77.394586032986339</v>
      </c>
      <c r="F55" s="60"/>
    </row>
    <row r="56" spans="1:6">
      <c r="A56" s="53" t="s">
        <v>309</v>
      </c>
      <c r="B56" s="79">
        <v>113.4</v>
      </c>
      <c r="C56" s="79">
        <f>'Whitman DF Calc'!L49</f>
        <v>1.1299384465065794</v>
      </c>
      <c r="D56" s="79">
        <f t="shared" si="0"/>
        <v>114.52993844650659</v>
      </c>
      <c r="F56" s="60"/>
    </row>
    <row r="57" spans="1:6">
      <c r="A57" s="53" t="s">
        <v>310</v>
      </c>
      <c r="B57" s="79">
        <v>146.15</v>
      </c>
      <c r="C57" s="79">
        <f>'Whitman DF Calc'!L54</f>
        <v>1.3182615209243427</v>
      </c>
      <c r="D57" s="79">
        <f t="shared" si="0"/>
        <v>147.46826152092436</v>
      </c>
      <c r="F57" s="60"/>
    </row>
    <row r="58" spans="1:6">
      <c r="F58" s="60"/>
    </row>
    <row r="59" spans="1:6">
      <c r="A59" s="7" t="s">
        <v>433</v>
      </c>
      <c r="F59" s="60"/>
    </row>
    <row r="60" spans="1:6">
      <c r="A60" s="1" t="s">
        <v>311</v>
      </c>
      <c r="B60" s="148">
        <v>4.8499999999999996</v>
      </c>
      <c r="C60" s="148">
        <f>'Whitman DF Calc'!L67</f>
        <v>3.9009779700822381E-2</v>
      </c>
      <c r="D60" s="148">
        <f t="shared" si="0"/>
        <v>4.8890097797008218</v>
      </c>
      <c r="F60" s="60"/>
    </row>
    <row r="61" spans="1:6">
      <c r="A61" s="1" t="s">
        <v>437</v>
      </c>
      <c r="B61" s="148">
        <v>13.25</v>
      </c>
      <c r="C61" s="148">
        <f>'Whitman DF Calc'!L65</f>
        <v>3.9009779700822381E-2</v>
      </c>
      <c r="D61" s="148">
        <f t="shared" si="0"/>
        <v>13.289009779700823</v>
      </c>
      <c r="F61" s="60"/>
    </row>
    <row r="62" spans="1:6">
      <c r="A62" s="1" t="s">
        <v>312</v>
      </c>
      <c r="B62" s="148">
        <v>21.06</v>
      </c>
      <c r="C62" s="148">
        <f>'Whitman DF Calc'!L56</f>
        <v>0.16904237870356367</v>
      </c>
      <c r="D62" s="148">
        <f t="shared" si="0"/>
        <v>21.229042378703561</v>
      </c>
      <c r="F62" s="60"/>
    </row>
    <row r="63" spans="1:6">
      <c r="F63" s="60"/>
    </row>
    <row r="64" spans="1:6">
      <c r="A64" s="53" t="s">
        <v>313</v>
      </c>
      <c r="B64" s="79">
        <v>9.0399999999999991</v>
      </c>
      <c r="C64" s="79">
        <f>'Whitman DF Calc'!K89</f>
        <v>6.3169562526501258E-2</v>
      </c>
      <c r="D64" s="79">
        <f t="shared" si="0"/>
        <v>9.1031695625265012</v>
      </c>
      <c r="F64" s="60"/>
    </row>
    <row r="65" spans="1:6">
      <c r="A65" s="53" t="s">
        <v>436</v>
      </c>
      <c r="B65" s="79">
        <v>18.05</v>
      </c>
      <c r="C65" s="79">
        <f>'Whitman DF Calc'!K90</f>
        <v>6.3169562526501258E-2</v>
      </c>
      <c r="D65" s="79">
        <f t="shared" si="0"/>
        <v>18.113169562526501</v>
      </c>
      <c r="F65" s="60"/>
    </row>
    <row r="66" spans="1:6">
      <c r="A66" s="1" t="s">
        <v>312</v>
      </c>
      <c r="B66" s="148">
        <v>39.17</v>
      </c>
      <c r="C66" s="148">
        <f>'Whitman DF Calc'!L58</f>
        <v>0.27396523445060317</v>
      </c>
      <c r="D66" s="148">
        <f t="shared" si="0"/>
        <v>39.443965234450602</v>
      </c>
      <c r="F66" s="60"/>
    </row>
    <row r="67" spans="1:6">
      <c r="F67" s="60"/>
    </row>
    <row r="68" spans="1:6">
      <c r="A68" s="53" t="s">
        <v>314</v>
      </c>
      <c r="B68" s="79">
        <v>10.81</v>
      </c>
      <c r="C68" s="79">
        <f>'Whitman DF Calc'!K91</f>
        <v>9.1394260676640124E-2</v>
      </c>
      <c r="D68" s="79">
        <f t="shared" ref="D68:D87" si="1">SUM(B68:C68)</f>
        <v>10.901394260676641</v>
      </c>
      <c r="F68" s="60"/>
    </row>
    <row r="69" spans="1:6">
      <c r="A69" s="162" t="s">
        <v>435</v>
      </c>
      <c r="B69" s="200">
        <v>21.57</v>
      </c>
      <c r="C69" s="200">
        <f>'Whitman DF Calc'!K92</f>
        <v>9.1394260676640124E-2</v>
      </c>
      <c r="D69" s="200">
        <f t="shared" si="1"/>
        <v>21.661394260676641</v>
      </c>
      <c r="F69" s="60"/>
    </row>
    <row r="70" spans="1:6">
      <c r="A70" s="1" t="s">
        <v>312</v>
      </c>
      <c r="B70" s="148">
        <v>46.86</v>
      </c>
      <c r="C70" s="148">
        <f>'Whitman DF Calc'!L61</f>
        <v>0.39637523282214931</v>
      </c>
      <c r="D70" s="148">
        <f t="shared" si="1"/>
        <v>47.256375232822151</v>
      </c>
      <c r="F70" s="60"/>
    </row>
    <row r="71" spans="1:6">
      <c r="F71" s="60"/>
    </row>
    <row r="72" spans="1:6">
      <c r="A72" s="7" t="s">
        <v>434</v>
      </c>
      <c r="F72" s="60"/>
    </row>
    <row r="73" spans="1:6">
      <c r="A73" s="53" t="s">
        <v>315</v>
      </c>
      <c r="B73" s="79">
        <v>61.04</v>
      </c>
      <c r="C73" s="79">
        <f>'Whitman DF Calc'!L25</f>
        <v>0.2354038430222041</v>
      </c>
      <c r="D73" s="79">
        <f t="shared" si="1"/>
        <v>61.275403843022204</v>
      </c>
      <c r="F73" s="60"/>
    </row>
    <row r="74" spans="1:6">
      <c r="A74" s="53" t="s">
        <v>316</v>
      </c>
      <c r="B74" s="79">
        <v>93.01</v>
      </c>
      <c r="C74" s="79">
        <f>'Whitman DF Calc'!L29</f>
        <v>0.33629120431743431</v>
      </c>
      <c r="D74" s="79">
        <f t="shared" si="1"/>
        <v>93.346291204317438</v>
      </c>
      <c r="F74" s="60"/>
    </row>
    <row r="75" spans="1:6">
      <c r="A75" s="53" t="s">
        <v>292</v>
      </c>
      <c r="B75" s="79">
        <v>123.67</v>
      </c>
      <c r="C75" s="79">
        <f>'Whitman DF Calc'!L35</f>
        <v>0.43583340079539495</v>
      </c>
      <c r="D75" s="79">
        <f t="shared" si="1"/>
        <v>124.10583340079539</v>
      </c>
      <c r="F75" s="60"/>
    </row>
    <row r="76" spans="1:6">
      <c r="A76" s="53" t="s">
        <v>293</v>
      </c>
      <c r="B76" s="79">
        <v>174.34</v>
      </c>
      <c r="C76" s="79">
        <f>'Whitman DF Calc'!L39</f>
        <v>0.63626295856858583</v>
      </c>
      <c r="D76" s="79">
        <f t="shared" si="1"/>
        <v>174.97626295856858</v>
      </c>
      <c r="F76" s="60"/>
    </row>
    <row r="77" spans="1:6">
      <c r="A77" s="53" t="s">
        <v>294</v>
      </c>
      <c r="B77" s="79">
        <v>231.68</v>
      </c>
      <c r="C77" s="79">
        <f>'Whitman DF Calc'!L44</f>
        <v>0.82458603298634914</v>
      </c>
      <c r="D77" s="79">
        <f t="shared" si="1"/>
        <v>232.50458603298637</v>
      </c>
      <c r="F77" s="60"/>
    </row>
    <row r="78" spans="1:6">
      <c r="A78" s="53" t="s">
        <v>317</v>
      </c>
      <c r="B78" s="79">
        <v>318.52</v>
      </c>
      <c r="C78" s="79">
        <f>'Whitman DF Calc'!L49</f>
        <v>1.1299384465065794</v>
      </c>
      <c r="D78" s="79">
        <f t="shared" si="1"/>
        <v>319.64993844650655</v>
      </c>
      <c r="F78" s="60"/>
    </row>
    <row r="79" spans="1:6">
      <c r="A79" s="53" t="s">
        <v>318</v>
      </c>
      <c r="B79" s="79">
        <v>377.85</v>
      </c>
      <c r="C79" s="79">
        <f>'Whitman DF Calc'!L54</f>
        <v>1.3182615209243427</v>
      </c>
      <c r="D79" s="79">
        <f t="shared" si="1"/>
        <v>379.16826152092437</v>
      </c>
      <c r="F79" s="60"/>
    </row>
    <row r="80" spans="1:6">
      <c r="F80" s="60"/>
    </row>
    <row r="81" spans="1:6">
      <c r="A81" s="53" t="s">
        <v>319</v>
      </c>
      <c r="B81" s="79">
        <v>104.74</v>
      </c>
      <c r="C81" s="79">
        <f>'Whitman DF Calc'!L25</f>
        <v>0.2354038430222041</v>
      </c>
      <c r="D81" s="79">
        <f t="shared" si="1"/>
        <v>104.97540384302219</v>
      </c>
      <c r="F81" s="60"/>
    </row>
    <row r="82" spans="1:6">
      <c r="A82" s="53" t="s">
        <v>320</v>
      </c>
      <c r="B82" s="79">
        <v>162.75</v>
      </c>
      <c r="C82" s="79">
        <f>'Whitman DF Calc'!L29</f>
        <v>0.33629120431743431</v>
      </c>
      <c r="D82" s="79">
        <f t="shared" si="1"/>
        <v>163.08629120431743</v>
      </c>
      <c r="F82" s="60"/>
    </row>
    <row r="83" spans="1:6">
      <c r="A83" s="53" t="s">
        <v>299</v>
      </c>
      <c r="B83" s="79">
        <v>212.87</v>
      </c>
      <c r="C83" s="79">
        <f>'Whitman DF Calc'!L35</f>
        <v>0.43583340079539495</v>
      </c>
      <c r="D83" s="79">
        <f t="shared" si="1"/>
        <v>213.30583340079539</v>
      </c>
      <c r="F83" s="60"/>
    </row>
    <row r="84" spans="1:6">
      <c r="A84" s="53" t="s">
        <v>300</v>
      </c>
      <c r="B84" s="79">
        <v>311.76</v>
      </c>
      <c r="C84" s="79">
        <f>'Whitman DF Calc'!L39</f>
        <v>0.63626295856858583</v>
      </c>
      <c r="D84" s="79">
        <f t="shared" si="1"/>
        <v>312.39626295856857</v>
      </c>
      <c r="F84" s="60"/>
    </row>
    <row r="85" spans="1:6">
      <c r="A85" s="53" t="s">
        <v>301</v>
      </c>
      <c r="B85" s="79">
        <v>414.54</v>
      </c>
      <c r="C85" s="79">
        <f>'Whitman DF Calc'!L44</f>
        <v>0.82458603298634914</v>
      </c>
      <c r="D85" s="79">
        <f t="shared" si="1"/>
        <v>415.36458603298638</v>
      </c>
      <c r="F85" s="60"/>
    </row>
    <row r="86" spans="1:6">
      <c r="A86" s="53" t="s">
        <v>321</v>
      </c>
      <c r="B86" s="79">
        <v>533.51</v>
      </c>
      <c r="C86" s="79">
        <f>'Whitman DF Calc'!L49</f>
        <v>1.1299384465065794</v>
      </c>
      <c r="D86" s="79">
        <f t="shared" si="1"/>
        <v>534.63993844650656</v>
      </c>
      <c r="F86" s="60"/>
    </row>
    <row r="87" spans="1:6">
      <c r="A87" s="53" t="s">
        <v>322</v>
      </c>
      <c r="B87" s="79">
        <v>638.42999999999995</v>
      </c>
      <c r="C87" s="79">
        <f>'Whitman DF Calc'!L54</f>
        <v>1.3182615209243427</v>
      </c>
      <c r="D87" s="79">
        <f t="shared" si="1"/>
        <v>639.7482615209243</v>
      </c>
      <c r="F87" s="60"/>
    </row>
    <row r="88" spans="1:6">
      <c r="F88" s="60"/>
    </row>
  </sheetData>
  <pageMargins left="0.7" right="0.7" top="0.75" bottom="0.75" header="0.3" footer="0.3"/>
  <pageSetup scale="90" fitToHeight="2" orientation="portrait" r:id="rId1"/>
  <headerFooter>
    <oddFooter>&amp;L&amp;F - &amp;A&amp;R&amp;P of &amp;N</oddFooter>
  </headerFooter>
  <rowBreaks count="2" manualBreakCount="2">
    <brk id="33" max="16383" man="1"/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tabSelected="1" view="pageBreakPreview" zoomScaleNormal="85" zoomScaleSheetLayoutView="100" workbookViewId="0">
      <selection activeCell="R31" sqref="R31"/>
    </sheetView>
  </sheetViews>
  <sheetFormatPr defaultRowHeight="15"/>
  <cols>
    <col min="1" max="1" width="16.42578125" style="168" customWidth="1"/>
    <col min="2" max="2" width="14.42578125" style="168" bestFit="1" customWidth="1"/>
    <col min="3" max="3" width="11.5703125" style="168" bestFit="1" customWidth="1"/>
    <col min="4" max="4" width="10.5703125" style="168" bestFit="1" customWidth="1"/>
    <col min="5" max="5" width="11.5703125" style="168" bestFit="1" customWidth="1"/>
    <col min="6" max="6" width="12.5703125" style="168" bestFit="1" customWidth="1"/>
    <col min="7" max="7" width="10.5703125" style="168" bestFit="1" customWidth="1"/>
    <col min="8" max="8" width="12.140625" style="168" bestFit="1" customWidth="1"/>
    <col min="9" max="9" width="11.5703125" style="1" bestFit="1" customWidth="1"/>
    <col min="10" max="10" width="10.85546875" style="1" bestFit="1" customWidth="1"/>
    <col min="11" max="11" width="10.5703125" style="1" bestFit="1" customWidth="1"/>
    <col min="12" max="16384" width="9.140625" style="1"/>
  </cols>
  <sheetData>
    <row r="1" spans="1:11">
      <c r="A1" s="166" t="s">
        <v>404</v>
      </c>
      <c r="B1" s="137"/>
      <c r="C1" s="135"/>
      <c r="D1" s="137"/>
      <c r="E1" s="135"/>
      <c r="F1" s="136"/>
      <c r="G1" s="135"/>
      <c r="H1" s="137"/>
    </row>
    <row r="2" spans="1:11">
      <c r="A2" s="133" t="s">
        <v>426</v>
      </c>
      <c r="B2" s="137"/>
      <c r="C2" s="135"/>
      <c r="D2" s="137"/>
      <c r="E2" s="135"/>
      <c r="F2" s="136"/>
      <c r="G2" s="135"/>
      <c r="H2" s="137"/>
    </row>
    <row r="3" spans="1:11" s="149" customFormat="1">
      <c r="A3" s="133" t="s">
        <v>490</v>
      </c>
      <c r="B3" s="137"/>
      <c r="C3" s="135"/>
      <c r="D3" s="137"/>
      <c r="E3" s="135"/>
      <c r="F3" s="136"/>
      <c r="G3" s="135"/>
      <c r="H3" s="137"/>
    </row>
    <row r="4" spans="1:11" ht="31.5" customHeight="1">
      <c r="A4" s="268" t="s">
        <v>487</v>
      </c>
      <c r="B4" s="268"/>
      <c r="C4" s="268"/>
      <c r="D4" s="268"/>
      <c r="E4" s="268"/>
      <c r="F4" s="268"/>
      <c r="G4" s="268"/>
      <c r="H4" s="268"/>
    </row>
    <row r="5" spans="1:11">
      <c r="A5" s="136"/>
      <c r="B5" s="137"/>
      <c r="C5" s="135"/>
      <c r="D5" s="137"/>
      <c r="E5" s="135"/>
      <c r="F5" s="136"/>
      <c r="G5" s="135"/>
      <c r="H5" s="137"/>
    </row>
    <row r="6" spans="1:11">
      <c r="A6" s="136"/>
      <c r="B6" s="269" t="s">
        <v>396</v>
      </c>
      <c r="C6" s="270"/>
      <c r="D6" s="270"/>
      <c r="E6" s="271"/>
      <c r="F6" s="136"/>
      <c r="G6" s="272" t="s">
        <v>0</v>
      </c>
      <c r="H6" s="273"/>
    </row>
    <row r="7" spans="1:11" ht="17.25">
      <c r="A7" s="136"/>
      <c r="B7" s="274" t="s">
        <v>397</v>
      </c>
      <c r="C7" s="274"/>
      <c r="D7" s="274" t="s">
        <v>398</v>
      </c>
      <c r="E7" s="274"/>
      <c r="F7" s="137"/>
      <c r="G7" s="275"/>
      <c r="H7" s="275"/>
    </row>
    <row r="8" spans="1:11">
      <c r="A8" s="136"/>
      <c r="B8" s="139" t="s">
        <v>267</v>
      </c>
      <c r="C8" s="124" t="s">
        <v>399</v>
      </c>
      <c r="D8" s="139" t="s">
        <v>267</v>
      </c>
      <c r="E8" s="124" t="s">
        <v>399</v>
      </c>
      <c r="F8" s="137"/>
      <c r="G8" s="139" t="s">
        <v>267</v>
      </c>
      <c r="H8" s="124" t="s">
        <v>399</v>
      </c>
      <c r="I8" s="56"/>
      <c r="J8" s="56"/>
      <c r="K8" s="56"/>
    </row>
    <row r="9" spans="1:11">
      <c r="A9" s="122">
        <v>42736</v>
      </c>
      <c r="B9" s="137">
        <v>33.28</v>
      </c>
      <c r="C9" s="135">
        <v>3527.68</v>
      </c>
      <c r="D9" s="137">
        <v>536.99</v>
      </c>
      <c r="E9" s="135">
        <v>56920.94</v>
      </c>
      <c r="F9" s="137"/>
      <c r="G9" s="118">
        <v>570.27</v>
      </c>
      <c r="H9" s="120">
        <v>60448.62</v>
      </c>
      <c r="I9" s="57"/>
      <c r="J9" s="59"/>
      <c r="K9" s="57"/>
    </row>
    <row r="10" spans="1:11">
      <c r="A10" s="122">
        <v>42768</v>
      </c>
      <c r="B10" s="137">
        <v>21.58</v>
      </c>
      <c r="C10" s="135">
        <v>2293.48</v>
      </c>
      <c r="D10" s="137">
        <v>492.7</v>
      </c>
      <c r="E10" s="135">
        <v>52226.2</v>
      </c>
      <c r="F10" s="137"/>
      <c r="G10" s="118">
        <v>514.28</v>
      </c>
      <c r="H10" s="120">
        <v>54519.68</v>
      </c>
      <c r="I10" s="57"/>
      <c r="J10" s="59"/>
      <c r="K10" s="57"/>
    </row>
    <row r="11" spans="1:11">
      <c r="A11" s="122">
        <v>42800</v>
      </c>
      <c r="B11" s="137">
        <v>60.47</v>
      </c>
      <c r="C11" s="135">
        <v>6409.82</v>
      </c>
      <c r="D11" s="137">
        <v>582.15</v>
      </c>
      <c r="E11" s="135">
        <v>61707.9</v>
      </c>
      <c r="F11" s="137"/>
      <c r="G11" s="118">
        <v>642.62</v>
      </c>
      <c r="H11" s="120">
        <v>68117.72</v>
      </c>
      <c r="I11" s="57"/>
      <c r="J11" s="59"/>
      <c r="K11" s="57"/>
    </row>
    <row r="12" spans="1:11">
      <c r="A12" s="122">
        <v>42832</v>
      </c>
      <c r="B12" s="137">
        <v>48.15</v>
      </c>
      <c r="C12" s="135">
        <v>4578.5</v>
      </c>
      <c r="D12" s="137">
        <v>525.28</v>
      </c>
      <c r="E12" s="135">
        <v>55679.68</v>
      </c>
      <c r="F12" s="137"/>
      <c r="G12" s="118">
        <v>573.42999999999995</v>
      </c>
      <c r="H12" s="120">
        <v>60258.18</v>
      </c>
      <c r="I12" s="57"/>
      <c r="J12" s="59"/>
      <c r="K12" s="57"/>
    </row>
    <row r="13" spans="1:11">
      <c r="A13" s="122">
        <v>42864</v>
      </c>
      <c r="B13" s="137">
        <v>68.11</v>
      </c>
      <c r="C13" s="135">
        <v>7219.66</v>
      </c>
      <c r="D13" s="137">
        <v>603.6</v>
      </c>
      <c r="E13" s="135">
        <v>63981.599999999999</v>
      </c>
      <c r="F13" s="137"/>
      <c r="G13" s="118">
        <v>671.71</v>
      </c>
      <c r="H13" s="120">
        <v>71201.259999999995</v>
      </c>
      <c r="I13" s="57"/>
      <c r="J13" s="59"/>
      <c r="K13" s="57"/>
    </row>
    <row r="14" spans="1:11">
      <c r="A14" s="122">
        <v>42896</v>
      </c>
      <c r="B14" s="137">
        <v>81.84</v>
      </c>
      <c r="C14" s="135">
        <v>8675.0400000000009</v>
      </c>
      <c r="D14" s="137">
        <v>590.09</v>
      </c>
      <c r="E14" s="135">
        <v>62549.54</v>
      </c>
      <c r="F14" s="137"/>
      <c r="G14" s="118">
        <v>671.93000000000006</v>
      </c>
      <c r="H14" s="120">
        <v>71224.58</v>
      </c>
      <c r="I14" s="57"/>
      <c r="J14" s="59"/>
      <c r="K14" s="57"/>
    </row>
    <row r="15" spans="1:11">
      <c r="A15" s="122">
        <v>42928</v>
      </c>
      <c r="B15" s="137">
        <v>76.83</v>
      </c>
      <c r="C15" s="135">
        <v>8013.24</v>
      </c>
      <c r="D15" s="137">
        <v>559.62</v>
      </c>
      <c r="E15" s="135">
        <v>59319.72</v>
      </c>
      <c r="F15" s="137"/>
      <c r="G15" s="118">
        <v>636.45000000000005</v>
      </c>
      <c r="H15" s="120">
        <v>67332.960000000006</v>
      </c>
      <c r="I15" s="57"/>
      <c r="J15" s="59"/>
      <c r="K15" s="57"/>
    </row>
    <row r="16" spans="1:11">
      <c r="A16" s="122">
        <v>42960</v>
      </c>
      <c r="B16" s="137">
        <v>135.22</v>
      </c>
      <c r="C16" s="135">
        <v>13023.16</v>
      </c>
      <c r="D16" s="137">
        <v>590.73</v>
      </c>
      <c r="E16" s="135">
        <v>62617.38</v>
      </c>
      <c r="F16" s="137"/>
      <c r="G16" s="118">
        <v>725.95</v>
      </c>
      <c r="H16" s="120">
        <v>75640.539999999994</v>
      </c>
      <c r="I16" s="57"/>
      <c r="J16" s="59"/>
      <c r="K16" s="57"/>
    </row>
    <row r="17" spans="1:11">
      <c r="A17" s="122">
        <v>42992</v>
      </c>
      <c r="B17" s="137">
        <v>90.33</v>
      </c>
      <c r="C17" s="135">
        <v>9574.98</v>
      </c>
      <c r="D17" s="137">
        <v>528.9</v>
      </c>
      <c r="E17" s="135">
        <v>56063.4</v>
      </c>
      <c r="F17" s="137"/>
      <c r="G17" s="118">
        <v>619.23</v>
      </c>
      <c r="H17" s="120">
        <v>65638.38</v>
      </c>
      <c r="I17" s="57"/>
      <c r="J17" s="59"/>
      <c r="K17" s="57"/>
    </row>
    <row r="18" spans="1:11">
      <c r="A18" s="122">
        <v>43024</v>
      </c>
      <c r="B18" s="137">
        <v>93.81</v>
      </c>
      <c r="C18" s="135">
        <v>9671.9</v>
      </c>
      <c r="D18" s="137">
        <v>579.54999999999995</v>
      </c>
      <c r="E18" s="135">
        <v>61432.3</v>
      </c>
      <c r="F18" s="137"/>
      <c r="G18" s="118">
        <v>673.3599999999999</v>
      </c>
      <c r="H18" s="120">
        <v>71104.2</v>
      </c>
      <c r="I18" s="57"/>
      <c r="J18" s="59"/>
      <c r="K18" s="57"/>
    </row>
    <row r="19" spans="1:11">
      <c r="A19" s="122">
        <v>43056</v>
      </c>
      <c r="B19" s="137">
        <v>61.77</v>
      </c>
      <c r="C19" s="135">
        <v>6435.09</v>
      </c>
      <c r="D19" s="137">
        <v>605.52</v>
      </c>
      <c r="E19" s="135">
        <v>64185.120000000003</v>
      </c>
      <c r="F19" s="137"/>
      <c r="G19" s="118">
        <v>667.29</v>
      </c>
      <c r="H19" s="120">
        <v>70620.210000000006</v>
      </c>
      <c r="I19" s="57"/>
      <c r="J19" s="59"/>
      <c r="K19" s="57"/>
    </row>
    <row r="20" spans="1:11">
      <c r="A20" s="122">
        <v>43088</v>
      </c>
      <c r="B20" s="137">
        <v>48.62</v>
      </c>
      <c r="C20" s="135">
        <v>5153.72</v>
      </c>
      <c r="D20" s="137">
        <v>484.01</v>
      </c>
      <c r="E20" s="135">
        <v>51305.06</v>
      </c>
      <c r="F20" s="137"/>
      <c r="G20" s="118">
        <v>532.63</v>
      </c>
      <c r="H20" s="120">
        <v>56458.78</v>
      </c>
      <c r="I20" s="57"/>
      <c r="J20" s="59"/>
      <c r="K20" s="57"/>
    </row>
    <row r="21" spans="1:11" ht="17.25">
      <c r="A21" s="122"/>
      <c r="B21" s="131"/>
      <c r="C21" s="132"/>
      <c r="D21" s="131"/>
      <c r="E21" s="132"/>
      <c r="F21" s="131"/>
      <c r="G21" s="141"/>
      <c r="H21" s="121"/>
      <c r="I21" s="56"/>
      <c r="J21" s="56"/>
      <c r="K21" s="56"/>
    </row>
    <row r="22" spans="1:11" ht="15.75" thickBot="1">
      <c r="A22" s="133"/>
      <c r="B22" s="126">
        <f>SUM(B9:B20)</f>
        <v>820.00999999999988</v>
      </c>
      <c r="C22" s="126">
        <f>SUM(C9:C20)</f>
        <v>84576.26999999999</v>
      </c>
      <c r="D22" s="126">
        <f>SUM(D9:D20)</f>
        <v>6679.1399999999994</v>
      </c>
      <c r="E22" s="126">
        <f>SUM(E9:E20)</f>
        <v>707988.84000000008</v>
      </c>
      <c r="F22" s="126"/>
      <c r="G22" s="126">
        <f>SUM(G9:G20)</f>
        <v>7499.1499999999987</v>
      </c>
      <c r="H22" s="126">
        <f>SUM(H9:H20)</f>
        <v>792565.11</v>
      </c>
    </row>
    <row r="23" spans="1:11" ht="15.75" thickTop="1">
      <c r="A23" s="133"/>
      <c r="B23" s="119"/>
      <c r="C23" s="119"/>
      <c r="D23" s="119"/>
      <c r="E23" s="119"/>
      <c r="F23" s="119"/>
      <c r="G23" s="119"/>
      <c r="H23" s="119"/>
    </row>
    <row r="24" spans="1:11">
      <c r="B24" s="123"/>
      <c r="C24" s="127"/>
      <c r="D24" s="165"/>
    </row>
    <row r="25" spans="1:11" ht="15.75" thickBot="1"/>
    <row r="26" spans="1:11">
      <c r="A26" s="128" t="s">
        <v>265</v>
      </c>
      <c r="B26" s="116"/>
      <c r="C26" s="116"/>
      <c r="D26" s="116"/>
      <c r="E26" s="115"/>
    </row>
    <row r="27" spans="1:11">
      <c r="A27" s="129"/>
      <c r="B27" s="164" t="s">
        <v>400</v>
      </c>
      <c r="C27" s="164" t="s">
        <v>401</v>
      </c>
      <c r="D27" s="167"/>
      <c r="E27" s="130"/>
    </row>
    <row r="28" spans="1:11">
      <c r="A28" s="129" t="s">
        <v>402</v>
      </c>
      <c r="B28" s="125">
        <v>18545320.216570791</v>
      </c>
      <c r="C28" s="143">
        <v>0.9079821747076694</v>
      </c>
      <c r="D28" s="167"/>
      <c r="E28" s="130"/>
      <c r="G28" s="165"/>
    </row>
    <row r="29" spans="1:11">
      <c r="A29" s="129" t="s">
        <v>403</v>
      </c>
      <c r="B29" s="142">
        <v>1879442.2216803492</v>
      </c>
      <c r="C29" s="143">
        <v>9.201782529233056E-2</v>
      </c>
      <c r="D29" s="167"/>
      <c r="E29" s="130"/>
    </row>
    <row r="30" spans="1:11">
      <c r="A30" s="129"/>
      <c r="B30" s="125">
        <v>20424762.438251141</v>
      </c>
      <c r="C30" s="167"/>
      <c r="D30" s="167"/>
      <c r="E30" s="130"/>
    </row>
    <row r="31" spans="1:11">
      <c r="A31" s="129"/>
      <c r="B31" s="167"/>
      <c r="C31" s="167"/>
      <c r="D31" s="167"/>
      <c r="E31" s="130"/>
    </row>
    <row r="32" spans="1:11" ht="15.75" thickBot="1">
      <c r="A32" s="114"/>
      <c r="B32" s="117"/>
      <c r="C32" s="117"/>
      <c r="D32" s="117"/>
      <c r="E32" s="138"/>
    </row>
    <row r="36" spans="4:4">
      <c r="D36" s="165"/>
    </row>
  </sheetData>
  <mergeCells count="6">
    <mergeCell ref="A4:H4"/>
    <mergeCell ref="B6:E6"/>
    <mergeCell ref="G6:H6"/>
    <mergeCell ref="B7:C7"/>
    <mergeCell ref="D7:E7"/>
    <mergeCell ref="G7:H7"/>
  </mergeCells>
  <printOptions horizontalCentered="1"/>
  <pageMargins left="0.7" right="0.7" top="0.75" bottom="0.75" header="0.3" footer="0.3"/>
  <pageSetup scale="90" orientation="portrait" r:id="rId1"/>
  <headerFooter>
    <oddFooter>&amp;L&amp;F - &amp;A&amp;R&amp;P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S175"/>
  <sheetViews>
    <sheetView showGridLines="0" tabSelected="1" view="pageBreakPreview" zoomScaleNormal="100" zoomScaleSheetLayoutView="100" workbookViewId="0">
      <pane ySplit="6" topLeftCell="A28" activePane="bottomLeft" state="frozen"/>
      <selection activeCell="M56" sqref="M56"/>
      <selection pane="bottomLeft" activeCell="R31" sqref="R31"/>
    </sheetView>
  </sheetViews>
  <sheetFormatPr defaultRowHeight="12.75"/>
  <cols>
    <col min="1" max="1" width="22.7109375" style="181" customWidth="1"/>
    <col min="2" max="2" width="23.5703125" style="181" customWidth="1"/>
    <col min="3" max="3" width="10" style="181" customWidth="1"/>
    <col min="4" max="4" width="13.7109375" style="181" customWidth="1"/>
    <col min="5" max="5" width="1.140625" style="181" customWidth="1"/>
    <col min="6" max="6" width="10" style="181" customWidth="1"/>
    <col min="7" max="7" width="11.85546875" style="181" customWidth="1"/>
    <col min="8" max="8" width="1.140625" style="181" customWidth="1"/>
    <col min="9" max="9" width="15" style="181" customWidth="1"/>
    <col min="10" max="10" width="8.140625" style="181" customWidth="1"/>
    <col min="11" max="11" width="9" style="181" customWidth="1"/>
    <col min="12" max="12" width="1.140625" style="181" customWidth="1"/>
    <col min="13" max="13" width="11.140625" style="183" customWidth="1"/>
    <col min="14" max="14" width="1.140625" style="183" customWidth="1"/>
    <col min="15" max="15" width="13.42578125" style="184" customWidth="1"/>
    <col min="16" max="16" width="13.42578125" style="183" customWidth="1"/>
    <col min="17" max="16384" width="9.140625" style="181"/>
  </cols>
  <sheetData>
    <row r="1" spans="1:16" ht="12" customHeight="1">
      <c r="A1" s="201" t="s">
        <v>442</v>
      </c>
      <c r="B1" s="189"/>
      <c r="C1" s="202" t="s">
        <v>443</v>
      </c>
      <c r="D1" s="189"/>
      <c r="E1" s="189"/>
      <c r="F1" s="189"/>
    </row>
    <row r="2" spans="1:16" ht="12" customHeight="1">
      <c r="A2" s="201" t="s">
        <v>444</v>
      </c>
      <c r="B2" s="189"/>
      <c r="C2" s="203"/>
      <c r="D2" s="204"/>
      <c r="E2" s="189"/>
      <c r="F2" s="189"/>
      <c r="I2" s="189"/>
      <c r="O2" s="205">
        <f>M170</f>
        <v>-260.96880137245171</v>
      </c>
      <c r="P2" s="206" t="s">
        <v>445</v>
      </c>
    </row>
    <row r="3" spans="1:16" ht="12" customHeight="1">
      <c r="A3" s="180">
        <v>2017</v>
      </c>
      <c r="B3" s="189"/>
      <c r="C3" s="207" t="s">
        <v>487</v>
      </c>
      <c r="D3" s="208"/>
      <c r="E3" s="189"/>
      <c r="F3" s="189"/>
      <c r="O3" s="184">
        <v>-261</v>
      </c>
    </row>
    <row r="4" spans="1:16" ht="28.5" customHeight="1">
      <c r="A4" s="189"/>
      <c r="B4" s="209"/>
      <c r="C4" s="210">
        <v>2017</v>
      </c>
      <c r="D4" s="211">
        <v>2017</v>
      </c>
      <c r="E4" s="189"/>
      <c r="F4" s="211">
        <v>2017</v>
      </c>
      <c r="G4" s="211" t="s">
        <v>446</v>
      </c>
      <c r="I4" s="212" t="s">
        <v>447</v>
      </c>
      <c r="J4" s="213" t="s">
        <v>448</v>
      </c>
      <c r="K4" s="212" t="s">
        <v>449</v>
      </c>
      <c r="L4" s="189"/>
      <c r="M4" s="276" t="s">
        <v>450</v>
      </c>
      <c r="N4" s="190"/>
      <c r="O4" s="277" t="s">
        <v>451</v>
      </c>
      <c r="P4" s="277"/>
    </row>
    <row r="5" spans="1:16" ht="12" customHeight="1">
      <c r="A5" s="210" t="s">
        <v>1</v>
      </c>
      <c r="B5" s="209" t="s">
        <v>2</v>
      </c>
      <c r="C5" s="214" t="s">
        <v>3</v>
      </c>
      <c r="D5" s="209" t="s">
        <v>4</v>
      </c>
      <c r="E5" s="189"/>
      <c r="F5" s="209" t="s">
        <v>5</v>
      </c>
      <c r="G5" s="209" t="s">
        <v>452</v>
      </c>
      <c r="I5" s="215">
        <v>0.14180179125211698</v>
      </c>
      <c r="J5" s="215">
        <v>0</v>
      </c>
      <c r="K5" s="215">
        <v>0.72954912708871378</v>
      </c>
      <c r="L5" s="209"/>
      <c r="M5" s="276"/>
      <c r="N5" s="216"/>
      <c r="O5" s="217" t="s">
        <v>453</v>
      </c>
      <c r="P5" s="218" t="s">
        <v>454</v>
      </c>
    </row>
    <row r="6" spans="1:16" ht="12" customHeight="1">
      <c r="G6" s="219"/>
      <c r="H6" s="220" t="s">
        <v>455</v>
      </c>
      <c r="I6" s="221">
        <v>4.8999999999999998E-3</v>
      </c>
      <c r="J6" s="219"/>
      <c r="K6" s="219"/>
    </row>
    <row r="7" spans="1:16" s="189" customFormat="1" ht="7.5" customHeight="1">
      <c r="C7" s="203"/>
      <c r="H7" s="181"/>
      <c r="M7" s="190"/>
      <c r="N7" s="190"/>
      <c r="O7" s="191"/>
      <c r="P7" s="190"/>
    </row>
    <row r="8" spans="1:16" s="189" customFormat="1" ht="7.5" customHeight="1">
      <c r="C8" s="203"/>
      <c r="H8" s="181"/>
      <c r="M8" s="190"/>
      <c r="N8" s="190"/>
      <c r="O8" s="191"/>
      <c r="P8" s="190"/>
    </row>
    <row r="9" spans="1:16" s="189" customFormat="1" ht="12" customHeight="1">
      <c r="A9" s="222" t="s">
        <v>6</v>
      </c>
      <c r="B9" s="222" t="s">
        <v>6</v>
      </c>
      <c r="C9" s="203"/>
      <c r="H9" s="181"/>
      <c r="M9" s="190"/>
      <c r="N9" s="190"/>
      <c r="O9" s="191"/>
      <c r="P9" s="190"/>
    </row>
    <row r="10" spans="1:16" s="189" customFormat="1" ht="7.5" customHeight="1">
      <c r="A10" s="222"/>
      <c r="B10" s="222"/>
      <c r="C10" s="203"/>
      <c r="M10" s="190"/>
      <c r="N10" s="190"/>
      <c r="O10" s="191"/>
      <c r="P10" s="190"/>
    </row>
    <row r="11" spans="1:16" s="189" customFormat="1" ht="12" customHeight="1">
      <c r="A11" s="180" t="s">
        <v>7</v>
      </c>
      <c r="B11" s="180" t="s">
        <v>7</v>
      </c>
      <c r="C11" s="185"/>
      <c r="D11" s="187"/>
      <c r="F11" s="187"/>
      <c r="M11" s="190"/>
      <c r="N11" s="190"/>
      <c r="O11" s="191"/>
      <c r="P11" s="190"/>
    </row>
    <row r="12" spans="1:16" s="189" customFormat="1" ht="12" customHeight="1">
      <c r="A12" s="181" t="s">
        <v>8</v>
      </c>
      <c r="B12" s="181" t="s">
        <v>9</v>
      </c>
      <c r="C12" s="185">
        <v>14.27</v>
      </c>
      <c r="D12" s="186">
        <v>3692.7450000000003</v>
      </c>
      <c r="F12" s="187">
        <f>IFERROR(D12/C12,0)</f>
        <v>258.77680448493345</v>
      </c>
      <c r="G12" s="223">
        <f>F12/12</f>
        <v>21.564733707077789</v>
      </c>
      <c r="H12" s="187"/>
      <c r="I12" s="188">
        <f>$I$5*C12</f>
        <v>2.0235115611677092</v>
      </c>
      <c r="M12" s="190">
        <f t="shared" ref="M12:M36" si="0">G12*SUM(I12:J12)*12</f>
        <v>523.6378556372988</v>
      </c>
      <c r="N12" s="190"/>
      <c r="O12" s="191">
        <f t="shared" ref="O12:O36" si="1">+C12+SUM(I12:J12)</f>
        <v>16.293511561167708</v>
      </c>
      <c r="P12" s="190">
        <f>D12+M12</f>
        <v>4216.3828556372991</v>
      </c>
    </row>
    <row r="13" spans="1:16" s="189" customFormat="1" ht="12" customHeight="1">
      <c r="A13" s="181" t="s">
        <v>10</v>
      </c>
      <c r="B13" s="181" t="s">
        <v>11</v>
      </c>
      <c r="C13" s="185">
        <v>11.46</v>
      </c>
      <c r="D13" s="186">
        <v>5895.31</v>
      </c>
      <c r="F13" s="187">
        <f t="shared" ref="F13:F36" si="2">IFERROR(D13/C13,0)</f>
        <v>514.42495636998251</v>
      </c>
      <c r="G13" s="187">
        <f t="shared" ref="G13:G36" si="3">F13/12</f>
        <v>42.868746364165212</v>
      </c>
      <c r="H13" s="187"/>
      <c r="I13" s="188">
        <f t="shared" ref="I13:I36" si="4">$I$5*C13</f>
        <v>1.6250485277492606</v>
      </c>
      <c r="M13" s="190">
        <f t="shared" si="0"/>
        <v>835.96551798651763</v>
      </c>
      <c r="N13" s="190"/>
      <c r="O13" s="191">
        <f t="shared" si="1"/>
        <v>13.085048527749262</v>
      </c>
      <c r="P13" s="190">
        <f t="shared" ref="P13:P36" si="5">D13+M13</f>
        <v>6731.275517986518</v>
      </c>
    </row>
    <row r="14" spans="1:16" s="189" customFormat="1" ht="12" customHeight="1">
      <c r="A14" s="181" t="s">
        <v>12</v>
      </c>
      <c r="B14" s="181" t="s">
        <v>13</v>
      </c>
      <c r="C14" s="185">
        <v>18.2</v>
      </c>
      <c r="D14" s="186">
        <v>211713.65</v>
      </c>
      <c r="F14" s="187">
        <f t="shared" si="2"/>
        <v>11632.618131868132</v>
      </c>
      <c r="G14" s="187">
        <f t="shared" si="3"/>
        <v>969.38484432234429</v>
      </c>
      <c r="H14" s="187"/>
      <c r="I14" s="188">
        <f t="shared" si="4"/>
        <v>2.5807926007885289</v>
      </c>
      <c r="M14" s="190">
        <f t="shared" si="0"/>
        <v>30021.374802523751</v>
      </c>
      <c r="N14" s="190"/>
      <c r="O14" s="191">
        <f t="shared" si="1"/>
        <v>20.78079260078853</v>
      </c>
      <c r="P14" s="190">
        <f t="shared" si="5"/>
        <v>241735.02480252375</v>
      </c>
    </row>
    <row r="15" spans="1:16" s="189" customFormat="1" ht="12" customHeight="1">
      <c r="A15" s="181" t="s">
        <v>14</v>
      </c>
      <c r="B15" s="181" t="s">
        <v>15</v>
      </c>
      <c r="C15" s="185">
        <v>24.19</v>
      </c>
      <c r="D15" s="186">
        <v>48301.590000000004</v>
      </c>
      <c r="F15" s="187">
        <f t="shared" si="2"/>
        <v>1996.7585779247624</v>
      </c>
      <c r="G15" s="187">
        <f t="shared" si="3"/>
        <v>166.39654816039686</v>
      </c>
      <c r="H15" s="187"/>
      <c r="I15" s="188">
        <f t="shared" si="4"/>
        <v>3.43018533038871</v>
      </c>
      <c r="M15" s="190">
        <f t="shared" si="0"/>
        <v>6849.2519823253424</v>
      </c>
      <c r="N15" s="190"/>
      <c r="O15" s="191">
        <f t="shared" si="1"/>
        <v>27.620185330388711</v>
      </c>
      <c r="P15" s="190">
        <f t="shared" si="5"/>
        <v>55150.84198232535</v>
      </c>
    </row>
    <row r="16" spans="1:16" s="189" customFormat="1" ht="12" customHeight="1">
      <c r="A16" s="181" t="s">
        <v>16</v>
      </c>
      <c r="B16" s="181" t="s">
        <v>17</v>
      </c>
      <c r="C16" s="185">
        <v>32.11</v>
      </c>
      <c r="D16" s="186">
        <v>4294.05</v>
      </c>
      <c r="F16" s="187">
        <f t="shared" si="2"/>
        <v>133.72936779819372</v>
      </c>
      <c r="G16" s="187">
        <f t="shared" si="3"/>
        <v>11.144113983182811</v>
      </c>
      <c r="H16" s="187"/>
      <c r="I16" s="188">
        <f t="shared" si="4"/>
        <v>4.5532555171054758</v>
      </c>
      <c r="M16" s="190">
        <f t="shared" si="0"/>
        <v>608.90398172615301</v>
      </c>
      <c r="N16" s="190"/>
      <c r="O16" s="191">
        <f t="shared" si="1"/>
        <v>36.663255517105476</v>
      </c>
      <c r="P16" s="190">
        <f t="shared" si="5"/>
        <v>4902.953981726153</v>
      </c>
    </row>
    <row r="17" spans="1:16" s="189" customFormat="1" ht="12" customHeight="1">
      <c r="A17" s="181" t="s">
        <v>18</v>
      </c>
      <c r="B17" s="181" t="s">
        <v>19</v>
      </c>
      <c r="C17" s="185">
        <v>41.93</v>
      </c>
      <c r="D17" s="186">
        <v>502.88500000000005</v>
      </c>
      <c r="F17" s="187">
        <f t="shared" si="2"/>
        <v>11.993441450035775</v>
      </c>
      <c r="G17" s="187">
        <f t="shared" si="3"/>
        <v>0.99945345416964793</v>
      </c>
      <c r="H17" s="187"/>
      <c r="I17" s="188">
        <f t="shared" si="4"/>
        <v>5.9457491072012649</v>
      </c>
      <c r="M17" s="190">
        <f t="shared" si="0"/>
        <v>71.309993793820851</v>
      </c>
      <c r="N17" s="190"/>
      <c r="O17" s="191">
        <f t="shared" si="1"/>
        <v>47.875749107201266</v>
      </c>
      <c r="P17" s="190">
        <f t="shared" si="5"/>
        <v>574.19499379382091</v>
      </c>
    </row>
    <row r="18" spans="1:16" s="189" customFormat="1" ht="12" customHeight="1">
      <c r="A18" s="181" t="s">
        <v>20</v>
      </c>
      <c r="B18" s="181" t="s">
        <v>21</v>
      </c>
      <c r="C18" s="185">
        <v>25.91</v>
      </c>
      <c r="D18" s="186">
        <v>270469.49500000005</v>
      </c>
      <c r="F18" s="187">
        <f t="shared" si="2"/>
        <v>10438.807217290623</v>
      </c>
      <c r="G18" s="187">
        <f t="shared" si="3"/>
        <v>869.90060144088523</v>
      </c>
      <c r="H18" s="187"/>
      <c r="I18" s="188">
        <f t="shared" si="4"/>
        <v>3.674084411342351</v>
      </c>
      <c r="M18" s="190">
        <f t="shared" si="0"/>
        <v>38353.058870055502</v>
      </c>
      <c r="N18" s="190"/>
      <c r="O18" s="191">
        <f t="shared" si="1"/>
        <v>29.584084411342353</v>
      </c>
      <c r="P18" s="190">
        <f t="shared" si="5"/>
        <v>308822.55387005553</v>
      </c>
    </row>
    <row r="19" spans="1:16" s="189" customFormat="1" ht="12" customHeight="1">
      <c r="A19" s="181" t="s">
        <v>332</v>
      </c>
      <c r="B19" s="181" t="s">
        <v>333</v>
      </c>
      <c r="C19" s="185">
        <v>51.82</v>
      </c>
      <c r="D19" s="186">
        <v>3080.11</v>
      </c>
      <c r="F19" s="187">
        <f t="shared" si="2"/>
        <v>59.438633732149754</v>
      </c>
      <c r="G19" s="187">
        <f t="shared" si="3"/>
        <v>4.9532194776791458</v>
      </c>
      <c r="H19" s="187"/>
      <c r="I19" s="188">
        <f t="shared" si="4"/>
        <v>7.348168822684702</v>
      </c>
      <c r="M19" s="190">
        <f t="shared" si="0"/>
        <v>436.76511525355801</v>
      </c>
      <c r="N19" s="190"/>
      <c r="O19" s="191">
        <f t="shared" si="1"/>
        <v>59.168168822684706</v>
      </c>
      <c r="P19" s="190">
        <f t="shared" si="5"/>
        <v>3516.8751152535583</v>
      </c>
    </row>
    <row r="20" spans="1:16" s="189" customFormat="1" ht="12" customHeight="1">
      <c r="A20" s="181" t="s">
        <v>22</v>
      </c>
      <c r="B20" s="181" t="s">
        <v>23</v>
      </c>
      <c r="C20" s="185">
        <v>77.73</v>
      </c>
      <c r="D20" s="186">
        <v>1860.7500000000002</v>
      </c>
      <c r="F20" s="187">
        <f t="shared" si="2"/>
        <v>23.93863373214975</v>
      </c>
      <c r="G20" s="187">
        <f t="shared" si="3"/>
        <v>1.9948861443458126</v>
      </c>
      <c r="H20" s="187"/>
      <c r="I20" s="188">
        <f t="shared" si="4"/>
        <v>11.022253234027053</v>
      </c>
      <c r="M20" s="190">
        <f t="shared" si="0"/>
        <v>263.85768307237669</v>
      </c>
      <c r="N20" s="190"/>
      <c r="O20" s="191">
        <f t="shared" si="1"/>
        <v>88.752253234027052</v>
      </c>
      <c r="P20" s="190">
        <f t="shared" si="5"/>
        <v>2124.6076830723769</v>
      </c>
    </row>
    <row r="21" spans="1:16" s="189" customFormat="1" ht="12" customHeight="1">
      <c r="A21" s="181" t="s">
        <v>24</v>
      </c>
      <c r="B21" s="181" t="s">
        <v>25</v>
      </c>
      <c r="C21" s="185">
        <v>32.06</v>
      </c>
      <c r="D21" s="186">
        <v>480282.98</v>
      </c>
      <c r="F21" s="187">
        <f t="shared" si="2"/>
        <v>14980.754210854646</v>
      </c>
      <c r="G21" s="187">
        <f t="shared" si="3"/>
        <v>1248.3961842378872</v>
      </c>
      <c r="H21" s="187"/>
      <c r="I21" s="188">
        <f t="shared" si="4"/>
        <v>4.5461654275428707</v>
      </c>
      <c r="M21" s="190">
        <f t="shared" si="0"/>
        <v>68104.986871904664</v>
      </c>
      <c r="N21" s="190"/>
      <c r="O21" s="191">
        <f t="shared" si="1"/>
        <v>36.606165427542877</v>
      </c>
      <c r="P21" s="190">
        <f t="shared" si="5"/>
        <v>548387.96687190467</v>
      </c>
    </row>
    <row r="22" spans="1:16" s="189" customFormat="1" ht="12" customHeight="1">
      <c r="A22" s="181" t="s">
        <v>26</v>
      </c>
      <c r="B22" s="181" t="s">
        <v>27</v>
      </c>
      <c r="C22" s="185">
        <v>64.12</v>
      </c>
      <c r="D22" s="186">
        <v>9665.31</v>
      </c>
      <c r="F22" s="187">
        <f t="shared" si="2"/>
        <v>150.73783530879598</v>
      </c>
      <c r="G22" s="187">
        <f t="shared" si="3"/>
        <v>12.561486275732998</v>
      </c>
      <c r="H22" s="187"/>
      <c r="I22" s="188">
        <f t="shared" si="4"/>
        <v>9.0923308550857413</v>
      </c>
      <c r="M22" s="190">
        <f t="shared" si="0"/>
        <v>1370.5582710069984</v>
      </c>
      <c r="N22" s="190"/>
      <c r="O22" s="191">
        <f t="shared" si="1"/>
        <v>73.212330855085753</v>
      </c>
      <c r="P22" s="190">
        <f t="shared" si="5"/>
        <v>11035.868271006999</v>
      </c>
    </row>
    <row r="23" spans="1:16" s="189" customFormat="1" ht="12" customHeight="1">
      <c r="A23" s="181" t="s">
        <v>28</v>
      </c>
      <c r="B23" s="181" t="s">
        <v>29</v>
      </c>
      <c r="C23" s="185">
        <v>12.61</v>
      </c>
      <c r="D23" s="186">
        <v>176.54</v>
      </c>
      <c r="F23" s="187">
        <f t="shared" si="2"/>
        <v>14</v>
      </c>
      <c r="G23" s="187">
        <f t="shared" si="3"/>
        <v>1.1666666666666667</v>
      </c>
      <c r="H23" s="187"/>
      <c r="I23" s="188">
        <f t="shared" si="4"/>
        <v>1.788120587689195</v>
      </c>
      <c r="M23" s="190">
        <f t="shared" si="0"/>
        <v>25.033688227648732</v>
      </c>
      <c r="N23" s="190"/>
      <c r="O23" s="191">
        <f t="shared" si="1"/>
        <v>14.398120587689194</v>
      </c>
      <c r="P23" s="190">
        <f t="shared" si="5"/>
        <v>201.57368822764872</v>
      </c>
    </row>
    <row r="24" spans="1:16" s="189" customFormat="1" ht="12" customHeight="1">
      <c r="A24" s="181" t="s">
        <v>30</v>
      </c>
      <c r="B24" s="181" t="s">
        <v>31</v>
      </c>
      <c r="C24" s="185">
        <v>12.61</v>
      </c>
      <c r="D24" s="186">
        <v>214.37</v>
      </c>
      <c r="F24" s="187">
        <f t="shared" si="2"/>
        <v>17</v>
      </c>
      <c r="G24" s="187">
        <f t="shared" si="3"/>
        <v>1.4166666666666667</v>
      </c>
      <c r="I24" s="188">
        <f t="shared" si="4"/>
        <v>1.788120587689195</v>
      </c>
      <c r="M24" s="190">
        <f t="shared" si="0"/>
        <v>30.398049990716316</v>
      </c>
      <c r="N24" s="190"/>
      <c r="O24" s="191">
        <f t="shared" si="1"/>
        <v>14.398120587689194</v>
      </c>
      <c r="P24" s="190">
        <f t="shared" si="5"/>
        <v>244.76804999071632</v>
      </c>
    </row>
    <row r="25" spans="1:16" s="189" customFormat="1" ht="12" customHeight="1">
      <c r="A25" s="181" t="s">
        <v>32</v>
      </c>
      <c r="B25" s="181" t="s">
        <v>33</v>
      </c>
      <c r="C25" s="185">
        <v>4.16</v>
      </c>
      <c r="D25" s="186">
        <v>16949.2</v>
      </c>
      <c r="F25" s="187">
        <f t="shared" si="2"/>
        <v>4074.3269230769233</v>
      </c>
      <c r="G25" s="187">
        <f t="shared" si="3"/>
        <v>339.52724358974359</v>
      </c>
      <c r="I25" s="188">
        <f t="shared" si="4"/>
        <v>0.58989545160880663</v>
      </c>
      <c r="M25" s="190">
        <f t="shared" si="0"/>
        <v>2403.4269202903811</v>
      </c>
      <c r="N25" s="190"/>
      <c r="O25" s="191">
        <f t="shared" si="1"/>
        <v>4.7498954516088068</v>
      </c>
      <c r="P25" s="190">
        <f t="shared" si="5"/>
        <v>19352.626920290382</v>
      </c>
    </row>
    <row r="26" spans="1:16" s="189" customFormat="1" ht="12" customHeight="1">
      <c r="A26" s="181" t="s">
        <v>34</v>
      </c>
      <c r="B26" s="181" t="s">
        <v>35</v>
      </c>
      <c r="C26" s="185">
        <v>20.78</v>
      </c>
      <c r="D26" s="186">
        <v>1308.7500000000002</v>
      </c>
      <c r="F26" s="187">
        <f t="shared" si="2"/>
        <v>62.981231953801739</v>
      </c>
      <c r="G26" s="187">
        <f t="shared" si="3"/>
        <v>5.2484359961501452</v>
      </c>
      <c r="I26" s="188">
        <f t="shared" si="4"/>
        <v>2.9466412222189908</v>
      </c>
      <c r="M26" s="190">
        <f t="shared" si="0"/>
        <v>185.58309430120812</v>
      </c>
      <c r="N26" s="190"/>
      <c r="O26" s="191">
        <f t="shared" si="1"/>
        <v>23.726641222218991</v>
      </c>
      <c r="P26" s="190">
        <f t="shared" si="5"/>
        <v>1494.3330943012083</v>
      </c>
    </row>
    <row r="27" spans="1:16" s="189" customFormat="1" ht="12" customHeight="1">
      <c r="A27" s="181" t="s">
        <v>36</v>
      </c>
      <c r="B27" s="181" t="s">
        <v>37</v>
      </c>
      <c r="C27" s="185">
        <v>4.16</v>
      </c>
      <c r="D27" s="186">
        <v>166.42</v>
      </c>
      <c r="F27" s="187">
        <f t="shared" si="2"/>
        <v>40.004807692307686</v>
      </c>
      <c r="G27" s="187">
        <f t="shared" si="3"/>
        <v>3.333733974358974</v>
      </c>
      <c r="I27" s="188">
        <f t="shared" si="4"/>
        <v>0.58989545160880663</v>
      </c>
      <c r="M27" s="190">
        <f t="shared" si="0"/>
        <v>23.598654100177306</v>
      </c>
      <c r="N27" s="190"/>
      <c r="O27" s="191">
        <f t="shared" si="1"/>
        <v>4.7498954516088068</v>
      </c>
      <c r="P27" s="190">
        <f t="shared" si="5"/>
        <v>190.01865410017729</v>
      </c>
    </row>
    <row r="28" spans="1:16" s="189" customFormat="1" ht="12" customHeight="1">
      <c r="A28" s="181" t="s">
        <v>38</v>
      </c>
      <c r="B28" s="181" t="s">
        <v>39</v>
      </c>
      <c r="C28" s="185">
        <v>4.16</v>
      </c>
      <c r="D28" s="186">
        <v>95.64</v>
      </c>
      <c r="F28" s="187">
        <f t="shared" si="2"/>
        <v>22.990384615384613</v>
      </c>
      <c r="G28" s="187">
        <f t="shared" si="3"/>
        <v>1.9158653846153844</v>
      </c>
      <c r="I28" s="188">
        <f t="shared" si="4"/>
        <v>0.58989545160880663</v>
      </c>
      <c r="M28" s="190">
        <f t="shared" si="0"/>
        <v>13.561923315352466</v>
      </c>
      <c r="N28" s="190"/>
      <c r="O28" s="191">
        <f t="shared" si="1"/>
        <v>4.7498954516088068</v>
      </c>
      <c r="P28" s="190">
        <f t="shared" si="5"/>
        <v>109.20192331535247</v>
      </c>
    </row>
    <row r="29" spans="1:16" s="189" customFormat="1" ht="12" customHeight="1">
      <c r="A29" s="181" t="s">
        <v>40</v>
      </c>
      <c r="B29" s="181" t="s">
        <v>41</v>
      </c>
      <c r="C29" s="185">
        <v>20.78</v>
      </c>
      <c r="D29" s="186">
        <v>259.59000000000003</v>
      </c>
      <c r="F29" s="187">
        <f t="shared" si="2"/>
        <v>12.492300288739173</v>
      </c>
      <c r="G29" s="187">
        <f t="shared" si="3"/>
        <v>1.0410250240615977</v>
      </c>
      <c r="I29" s="188">
        <f t="shared" si="4"/>
        <v>2.9466412222189908</v>
      </c>
      <c r="M29" s="190">
        <f t="shared" si="0"/>
        <v>36.810326991137046</v>
      </c>
      <c r="N29" s="190"/>
      <c r="O29" s="191">
        <f t="shared" si="1"/>
        <v>23.726641222218991</v>
      </c>
      <c r="P29" s="190">
        <f t="shared" si="5"/>
        <v>296.40032699113709</v>
      </c>
    </row>
    <row r="30" spans="1:16" s="189" customFormat="1" ht="12" customHeight="1">
      <c r="A30" s="224" t="s">
        <v>456</v>
      </c>
      <c r="B30" s="181" t="s">
        <v>457</v>
      </c>
      <c r="C30" s="185">
        <v>8.4700000000000006</v>
      </c>
      <c r="D30" s="186">
        <v>16.940000000000001</v>
      </c>
      <c r="F30" s="187">
        <f t="shared" si="2"/>
        <v>2</v>
      </c>
      <c r="G30" s="187">
        <f t="shared" si="3"/>
        <v>0.16666666666666666</v>
      </c>
      <c r="I30" s="188">
        <f t="shared" si="4"/>
        <v>1.2010611719054309</v>
      </c>
      <c r="M30" s="190">
        <f t="shared" si="0"/>
        <v>2.4021223438108619</v>
      </c>
      <c r="N30" s="190"/>
      <c r="O30" s="191">
        <f t="shared" si="1"/>
        <v>9.671061171905432</v>
      </c>
      <c r="P30" s="190">
        <f t="shared" si="5"/>
        <v>19.342122343810864</v>
      </c>
    </row>
    <row r="31" spans="1:16" s="189" customFormat="1" ht="12" customHeight="1">
      <c r="A31" s="181" t="s">
        <v>42</v>
      </c>
      <c r="B31" s="181" t="s">
        <v>43</v>
      </c>
      <c r="C31" s="185">
        <v>3.64</v>
      </c>
      <c r="D31" s="186">
        <v>86.800000000000011</v>
      </c>
      <c r="F31" s="187">
        <f t="shared" si="2"/>
        <v>23.846153846153847</v>
      </c>
      <c r="G31" s="187">
        <f t="shared" si="3"/>
        <v>1.9871794871794872</v>
      </c>
      <c r="I31" s="188">
        <f t="shared" si="4"/>
        <v>0.5161585201577058</v>
      </c>
      <c r="M31" s="190">
        <f t="shared" si="0"/>
        <v>12.308395480683753</v>
      </c>
      <c r="N31" s="190"/>
      <c r="O31" s="191">
        <f t="shared" si="1"/>
        <v>4.1561585201577058</v>
      </c>
      <c r="P31" s="190">
        <f t="shared" si="5"/>
        <v>99.108395480683768</v>
      </c>
    </row>
    <row r="32" spans="1:16" s="189" customFormat="1" ht="12" customHeight="1">
      <c r="A32" s="181" t="s">
        <v>334</v>
      </c>
      <c r="B32" s="181" t="s">
        <v>335</v>
      </c>
      <c r="C32" s="185">
        <v>6.97</v>
      </c>
      <c r="D32" s="186">
        <v>5602.1400000000021</v>
      </c>
      <c r="F32" s="187">
        <f t="shared" si="2"/>
        <v>803.75035868005773</v>
      </c>
      <c r="G32" s="187">
        <f t="shared" si="3"/>
        <v>66.979196556671482</v>
      </c>
      <c r="I32" s="188">
        <f t="shared" si="4"/>
        <v>0.98835848502725532</v>
      </c>
      <c r="M32" s="190">
        <f t="shared" si="0"/>
        <v>794.39348684513493</v>
      </c>
      <c r="N32" s="190"/>
      <c r="O32" s="191">
        <f t="shared" si="1"/>
        <v>7.9583584850272553</v>
      </c>
      <c r="P32" s="190">
        <f t="shared" si="5"/>
        <v>6396.5334868451373</v>
      </c>
    </row>
    <row r="33" spans="1:16" s="189" customFormat="1" ht="12" customHeight="1">
      <c r="A33" s="181" t="s">
        <v>336</v>
      </c>
      <c r="B33" s="181" t="s">
        <v>337</v>
      </c>
      <c r="C33" s="185">
        <v>3.64</v>
      </c>
      <c r="D33" s="186">
        <v>0</v>
      </c>
      <c r="F33" s="187">
        <f t="shared" si="2"/>
        <v>0</v>
      </c>
      <c r="G33" s="187">
        <f t="shared" si="3"/>
        <v>0</v>
      </c>
      <c r="I33" s="188">
        <f t="shared" si="4"/>
        <v>0.5161585201577058</v>
      </c>
      <c r="M33" s="190">
        <f t="shared" si="0"/>
        <v>0</v>
      </c>
      <c r="N33" s="190"/>
      <c r="O33" s="191">
        <f t="shared" si="1"/>
        <v>4.1561585201577058</v>
      </c>
      <c r="P33" s="190">
        <f t="shared" si="5"/>
        <v>0</v>
      </c>
    </row>
    <row r="34" spans="1:16" s="189" customFormat="1" ht="12" customHeight="1">
      <c r="A34" s="181" t="s">
        <v>44</v>
      </c>
      <c r="B34" s="181" t="s">
        <v>45</v>
      </c>
      <c r="C34" s="185">
        <v>23.04</v>
      </c>
      <c r="D34" s="186">
        <v>322.56</v>
      </c>
      <c r="F34" s="187">
        <f t="shared" si="2"/>
        <v>14</v>
      </c>
      <c r="G34" s="187">
        <f t="shared" si="3"/>
        <v>1.1666666666666667</v>
      </c>
      <c r="I34" s="188">
        <f t="shared" si="4"/>
        <v>3.2671132704487751</v>
      </c>
      <c r="M34" s="190">
        <f t="shared" si="0"/>
        <v>45.739585786282852</v>
      </c>
      <c r="N34" s="190"/>
      <c r="O34" s="191">
        <f t="shared" si="1"/>
        <v>26.307113270448774</v>
      </c>
      <c r="P34" s="190">
        <f t="shared" si="5"/>
        <v>368.29958578628288</v>
      </c>
    </row>
    <row r="35" spans="1:16" s="189" customFormat="1" ht="12" customHeight="1">
      <c r="A35" s="181" t="s">
        <v>46</v>
      </c>
      <c r="B35" s="181" t="s">
        <v>47</v>
      </c>
      <c r="C35" s="185">
        <v>13.83</v>
      </c>
      <c r="D35" s="186">
        <v>1244.7</v>
      </c>
      <c r="F35" s="187">
        <f t="shared" si="2"/>
        <v>90</v>
      </c>
      <c r="G35" s="187">
        <f t="shared" si="3"/>
        <v>7.5</v>
      </c>
      <c r="I35" s="188">
        <f t="shared" si="4"/>
        <v>1.9611187730167778</v>
      </c>
      <c r="M35" s="190">
        <f t="shared" si="0"/>
        <v>176.50068957151001</v>
      </c>
      <c r="N35" s="190"/>
      <c r="O35" s="191">
        <f t="shared" si="1"/>
        <v>15.791118773016779</v>
      </c>
      <c r="P35" s="190">
        <f t="shared" si="5"/>
        <v>1421.2006895715101</v>
      </c>
    </row>
    <row r="36" spans="1:16" s="189" customFormat="1" ht="12" customHeight="1">
      <c r="A36" s="181" t="s">
        <v>338</v>
      </c>
      <c r="B36" s="181" t="s">
        <v>339</v>
      </c>
      <c r="C36" s="185">
        <v>107.53</v>
      </c>
      <c r="D36" s="186">
        <v>0</v>
      </c>
      <c r="F36" s="187">
        <f t="shared" si="2"/>
        <v>0</v>
      </c>
      <c r="G36" s="187">
        <f t="shared" si="3"/>
        <v>0</v>
      </c>
      <c r="I36" s="188">
        <f t="shared" si="4"/>
        <v>15.247946613340138</v>
      </c>
      <c r="M36" s="190">
        <f t="shared" si="0"/>
        <v>0</v>
      </c>
      <c r="N36" s="190"/>
      <c r="O36" s="191">
        <f t="shared" si="1"/>
        <v>122.77794661334013</v>
      </c>
      <c r="P36" s="190">
        <f t="shared" si="5"/>
        <v>0</v>
      </c>
    </row>
    <row r="37" spans="1:16" s="189" customFormat="1" ht="7.5" customHeight="1" thickBot="1">
      <c r="A37" s="225"/>
      <c r="B37" s="225"/>
      <c r="C37" s="185"/>
      <c r="D37" s="187"/>
      <c r="M37" s="190"/>
      <c r="N37" s="190"/>
      <c r="O37" s="191"/>
      <c r="P37" s="190"/>
    </row>
    <row r="38" spans="1:16" s="189" customFormat="1" ht="12" customHeight="1" thickBot="1">
      <c r="A38" s="192"/>
      <c r="B38" s="193" t="s">
        <v>48</v>
      </c>
      <c r="C38" s="185"/>
      <c r="D38" s="194">
        <f>SUM(D12:D37)</f>
        <v>1066202.5249999999</v>
      </c>
      <c r="F38" s="226"/>
      <c r="G38" s="227">
        <f>SUM(G12:G22)</f>
        <v>3350.164817567867</v>
      </c>
      <c r="I38" s="192"/>
      <c r="M38" s="228">
        <f>SUM(M12:M37)</f>
        <v>151189.42788252997</v>
      </c>
      <c r="N38" s="190"/>
      <c r="O38" s="229"/>
      <c r="P38" s="228">
        <f>SUM(P12:P37)</f>
        <v>1217391.9528825302</v>
      </c>
    </row>
    <row r="39" spans="1:16" s="189" customFormat="1" ht="7.5" customHeight="1">
      <c r="A39" s="222"/>
      <c r="B39" s="230"/>
      <c r="C39" s="185"/>
      <c r="D39" s="186"/>
      <c r="F39" s="187"/>
      <c r="M39" s="190"/>
      <c r="N39" s="190"/>
      <c r="O39" s="191"/>
      <c r="P39" s="190"/>
    </row>
    <row r="40" spans="1:16" s="189" customFormat="1" ht="12" customHeight="1">
      <c r="A40" s="180" t="s">
        <v>340</v>
      </c>
      <c r="B40" s="180" t="s">
        <v>340</v>
      </c>
      <c r="C40" s="185"/>
      <c r="D40" s="186"/>
      <c r="F40" s="187"/>
      <c r="I40" s="181"/>
      <c r="J40" s="181"/>
      <c r="K40" s="181"/>
      <c r="L40" s="181"/>
      <c r="M40" s="183"/>
      <c r="N40" s="183"/>
      <c r="O40" s="184"/>
      <c r="P40" s="183"/>
    </row>
    <row r="41" spans="1:16" s="189" customFormat="1" ht="12" customHeight="1">
      <c r="A41" s="181" t="s">
        <v>341</v>
      </c>
      <c r="B41" s="181" t="s">
        <v>342</v>
      </c>
      <c r="C41" s="185">
        <v>9.98</v>
      </c>
      <c r="D41" s="186">
        <v>4815.3600000000006</v>
      </c>
      <c r="F41" s="187">
        <f>IFERROR(D41/C41,0)</f>
        <v>482.50100200400806</v>
      </c>
      <c r="G41" s="187">
        <f>F41/12</f>
        <v>40.208416833667336</v>
      </c>
      <c r="H41" s="187"/>
      <c r="I41" s="188"/>
      <c r="J41" s="188">
        <f>J5*C41</f>
        <v>0</v>
      </c>
      <c r="K41" s="188">
        <f>K5*D41</f>
        <v>3513.0416846179091</v>
      </c>
      <c r="M41" s="190">
        <f>G41*SUM(I41:J41)*12</f>
        <v>0</v>
      </c>
      <c r="N41" s="190"/>
      <c r="O41" s="191">
        <f>+C41+SUM(I41:J41)</f>
        <v>9.98</v>
      </c>
      <c r="P41" s="190">
        <f t="shared" ref="P41" si="6">D41+M41</f>
        <v>4815.3600000000006</v>
      </c>
    </row>
    <row r="42" spans="1:16" s="189" customFormat="1" ht="7.5" customHeight="1" thickBot="1">
      <c r="A42" s="231"/>
      <c r="B42" s="181"/>
      <c r="C42" s="185"/>
      <c r="D42" s="187"/>
      <c r="F42" s="187"/>
      <c r="M42" s="190"/>
      <c r="N42" s="190"/>
      <c r="O42" s="191"/>
      <c r="P42" s="190"/>
    </row>
    <row r="43" spans="1:16" s="189" customFormat="1" ht="12" customHeight="1" thickBot="1">
      <c r="A43" s="192"/>
      <c r="B43" s="193" t="s">
        <v>343</v>
      </c>
      <c r="C43" s="185"/>
      <c r="D43" s="194">
        <f>SUM(D41:D42)</f>
        <v>4815.3600000000006</v>
      </c>
      <c r="F43" s="226"/>
      <c r="G43" s="227">
        <f>SUM(G41)</f>
        <v>40.208416833667336</v>
      </c>
      <c r="I43" s="232"/>
      <c r="M43" s="228">
        <f>SUM(M41)</f>
        <v>0</v>
      </c>
      <c r="N43" s="190"/>
      <c r="O43" s="229"/>
      <c r="P43" s="228">
        <f>SUM(P41)</f>
        <v>4815.3600000000006</v>
      </c>
    </row>
    <row r="44" spans="1:16" s="189" customFormat="1" ht="6.75" customHeight="1">
      <c r="A44" s="192"/>
      <c r="B44" s="192"/>
      <c r="C44" s="185"/>
      <c r="D44" s="186"/>
      <c r="F44" s="187"/>
      <c r="I44" s="188"/>
      <c r="M44" s="190"/>
      <c r="N44" s="190"/>
      <c r="O44" s="191"/>
      <c r="P44" s="190"/>
    </row>
    <row r="45" spans="1:16" s="189" customFormat="1" ht="6.75" customHeight="1">
      <c r="C45" s="185"/>
      <c r="F45" s="187"/>
      <c r="I45" s="188"/>
      <c r="M45" s="190"/>
      <c r="N45" s="190"/>
      <c r="O45" s="191"/>
      <c r="P45" s="190"/>
    </row>
    <row r="46" spans="1:16" ht="12" customHeight="1">
      <c r="A46" s="222" t="s">
        <v>49</v>
      </c>
      <c r="B46" s="222" t="s">
        <v>49</v>
      </c>
      <c r="I46" s="188"/>
      <c r="J46" s="189"/>
      <c r="K46" s="189"/>
      <c r="L46" s="189"/>
      <c r="M46" s="190"/>
      <c r="N46" s="190"/>
      <c r="O46" s="191"/>
      <c r="P46" s="190"/>
    </row>
    <row r="47" spans="1:16" ht="6.75" customHeight="1">
      <c r="A47" s="222"/>
      <c r="B47" s="222"/>
      <c r="I47" s="188"/>
      <c r="J47" s="189"/>
      <c r="K47" s="189"/>
      <c r="L47" s="189"/>
      <c r="M47" s="190"/>
      <c r="N47" s="190"/>
      <c r="O47" s="191"/>
      <c r="P47" s="190"/>
    </row>
    <row r="48" spans="1:16" s="189" customFormat="1" ht="12" customHeight="1">
      <c r="A48" s="180" t="s">
        <v>50</v>
      </c>
      <c r="B48" s="180" t="s">
        <v>50</v>
      </c>
      <c r="C48" s="185"/>
      <c r="F48" s="187"/>
      <c r="I48" s="188"/>
      <c r="M48" s="190"/>
      <c r="N48" s="190"/>
      <c r="O48" s="191"/>
      <c r="P48" s="190"/>
    </row>
    <row r="49" spans="1:16" s="189" customFormat="1" ht="12" customHeight="1">
      <c r="A49" s="181" t="s">
        <v>51</v>
      </c>
      <c r="B49" s="181" t="s">
        <v>52</v>
      </c>
      <c r="C49" s="185">
        <v>68.25</v>
      </c>
      <c r="D49" s="186">
        <v>209582.46000000002</v>
      </c>
      <c r="F49" s="187">
        <f t="shared" ref="F49:F112" si="7">IFERROR(D49/C49,0)</f>
        <v>3070.805274725275</v>
      </c>
      <c r="G49" s="187">
        <f t="shared" ref="G49:G112" si="8">F49/12</f>
        <v>255.90043956043959</v>
      </c>
      <c r="H49" s="187"/>
      <c r="I49" s="188">
        <f t="shared" ref="I49:I112" si="9">$I$5*C49</f>
        <v>9.6779722529569838</v>
      </c>
      <c r="M49" s="190">
        <f t="shared" ref="M49:M80" si="10">G49*SUM(I49:J49)*12</f>
        <v>29719.16824302516</v>
      </c>
      <c r="N49" s="190"/>
      <c r="O49" s="191">
        <f t="shared" ref="O49:O112" si="11">+C49+SUM(I49:J49)</f>
        <v>77.927972252956977</v>
      </c>
      <c r="P49" s="190">
        <f>D49+M49</f>
        <v>239301.62824302519</v>
      </c>
    </row>
    <row r="50" spans="1:16" s="189" customFormat="1" ht="12" customHeight="1">
      <c r="A50" s="181" t="s">
        <v>344</v>
      </c>
      <c r="B50" s="181" t="s">
        <v>345</v>
      </c>
      <c r="C50" s="185">
        <v>15.75</v>
      </c>
      <c r="D50" s="186">
        <v>189</v>
      </c>
      <c r="F50" s="187">
        <f t="shared" si="7"/>
        <v>12</v>
      </c>
      <c r="G50" s="187">
        <f t="shared" si="8"/>
        <v>1</v>
      </c>
      <c r="H50" s="187"/>
      <c r="I50" s="188">
        <f t="shared" si="9"/>
        <v>2.2333782122208423</v>
      </c>
      <c r="M50" s="190">
        <f t="shared" si="10"/>
        <v>26.80053854665011</v>
      </c>
      <c r="N50" s="190"/>
      <c r="O50" s="191">
        <f t="shared" si="11"/>
        <v>17.983378212220842</v>
      </c>
      <c r="P50" s="190">
        <f t="shared" ref="P50:P113" si="12">D50+M50</f>
        <v>215.8005385466501</v>
      </c>
    </row>
    <row r="51" spans="1:16" s="189" customFormat="1" ht="12" customHeight="1">
      <c r="A51" s="181" t="s">
        <v>458</v>
      </c>
      <c r="B51" s="181" t="s">
        <v>459</v>
      </c>
      <c r="C51" s="185">
        <v>136.5</v>
      </c>
      <c r="D51" s="186">
        <v>1365</v>
      </c>
      <c r="F51" s="187">
        <f t="shared" si="7"/>
        <v>10</v>
      </c>
      <c r="G51" s="187">
        <f t="shared" si="8"/>
        <v>0.83333333333333337</v>
      </c>
      <c r="H51" s="187"/>
      <c r="I51" s="188">
        <f t="shared" si="9"/>
        <v>19.355944505913968</v>
      </c>
      <c r="M51" s="190">
        <f t="shared" si="10"/>
        <v>193.5594450591397</v>
      </c>
      <c r="N51" s="190"/>
      <c r="O51" s="191">
        <f t="shared" si="11"/>
        <v>155.85594450591395</v>
      </c>
      <c r="P51" s="190">
        <f t="shared" si="12"/>
        <v>1558.5594450591398</v>
      </c>
    </row>
    <row r="52" spans="1:16" s="189" customFormat="1" ht="12" customHeight="1">
      <c r="A52" s="181" t="s">
        <v>53</v>
      </c>
      <c r="B52" s="181" t="s">
        <v>54</v>
      </c>
      <c r="C52" s="185">
        <v>204.74</v>
      </c>
      <c r="D52" s="186">
        <v>2456.88</v>
      </c>
      <c r="F52" s="187">
        <f t="shared" si="7"/>
        <v>12</v>
      </c>
      <c r="G52" s="187">
        <f t="shared" si="8"/>
        <v>1</v>
      </c>
      <c r="H52" s="187"/>
      <c r="I52" s="188">
        <f t="shared" si="9"/>
        <v>29.032498740958431</v>
      </c>
      <c r="M52" s="190">
        <f t="shared" si="10"/>
        <v>348.38998489150117</v>
      </c>
      <c r="N52" s="190"/>
      <c r="O52" s="191">
        <f t="shared" si="11"/>
        <v>233.77249874095844</v>
      </c>
      <c r="P52" s="190">
        <f t="shared" si="12"/>
        <v>2805.2699848915013</v>
      </c>
    </row>
    <row r="53" spans="1:16" s="189" customFormat="1" ht="12" customHeight="1">
      <c r="A53" s="181" t="s">
        <v>55</v>
      </c>
      <c r="B53" s="181" t="s">
        <v>56</v>
      </c>
      <c r="C53" s="185">
        <v>23.74</v>
      </c>
      <c r="D53" s="186">
        <v>1424.4000000000003</v>
      </c>
      <c r="F53" s="187">
        <f t="shared" si="7"/>
        <v>60.000000000000014</v>
      </c>
      <c r="G53" s="187">
        <f t="shared" si="8"/>
        <v>5.0000000000000009</v>
      </c>
      <c r="H53" s="187"/>
      <c r="I53" s="188">
        <f t="shared" si="9"/>
        <v>3.366374524325257</v>
      </c>
      <c r="M53" s="190">
        <f t="shared" si="10"/>
        <v>201.98247145951547</v>
      </c>
      <c r="N53" s="190"/>
      <c r="O53" s="191">
        <f t="shared" si="11"/>
        <v>27.106374524325254</v>
      </c>
      <c r="P53" s="190">
        <f t="shared" si="12"/>
        <v>1626.3824714595157</v>
      </c>
    </row>
    <row r="54" spans="1:16" s="189" customFormat="1" ht="12" customHeight="1">
      <c r="A54" s="181" t="s">
        <v>57</v>
      </c>
      <c r="B54" s="181" t="s">
        <v>58</v>
      </c>
      <c r="C54" s="185">
        <v>102.86</v>
      </c>
      <c r="D54" s="186">
        <v>110860.82999999999</v>
      </c>
      <c r="F54" s="187">
        <f t="shared" si="7"/>
        <v>1077.7836865642621</v>
      </c>
      <c r="G54" s="187">
        <f t="shared" si="8"/>
        <v>89.815307213688513</v>
      </c>
      <c r="H54" s="187"/>
      <c r="I54" s="188">
        <f t="shared" si="9"/>
        <v>14.585732248192752</v>
      </c>
      <c r="M54" s="190">
        <f t="shared" si="10"/>
        <v>15720.264273696428</v>
      </c>
      <c r="N54" s="190"/>
      <c r="O54" s="191">
        <f t="shared" si="11"/>
        <v>117.44573224819275</v>
      </c>
      <c r="P54" s="190">
        <f t="shared" si="12"/>
        <v>126581.09427369642</v>
      </c>
    </row>
    <row r="55" spans="1:16" s="189" customFormat="1" ht="12" customHeight="1">
      <c r="A55" s="181" t="s">
        <v>59</v>
      </c>
      <c r="B55" s="181" t="s">
        <v>60</v>
      </c>
      <c r="C55" s="185">
        <v>205.73</v>
      </c>
      <c r="D55" s="186">
        <v>3394.5499999999997</v>
      </c>
      <c r="F55" s="187">
        <f t="shared" si="7"/>
        <v>16.500024303699021</v>
      </c>
      <c r="G55" s="187">
        <f t="shared" si="8"/>
        <v>1.3750020253082518</v>
      </c>
      <c r="H55" s="187"/>
      <c r="I55" s="188">
        <f t="shared" si="9"/>
        <v>29.172882514298024</v>
      </c>
      <c r="M55" s="190">
        <f t="shared" si="10"/>
        <v>481.35327049487358</v>
      </c>
      <c r="N55" s="190"/>
      <c r="O55" s="191">
        <f t="shared" si="11"/>
        <v>234.90288251429803</v>
      </c>
      <c r="P55" s="190">
        <f t="shared" si="12"/>
        <v>3875.9032704948731</v>
      </c>
    </row>
    <row r="56" spans="1:16" s="189" customFormat="1" ht="12" customHeight="1">
      <c r="A56" s="181" t="s">
        <v>61</v>
      </c>
      <c r="B56" s="181" t="s">
        <v>62</v>
      </c>
      <c r="C56" s="185">
        <v>308.58999999999997</v>
      </c>
      <c r="D56" s="186">
        <v>3085.9</v>
      </c>
      <c r="F56" s="187">
        <f t="shared" si="7"/>
        <v>10.000000000000002</v>
      </c>
      <c r="G56" s="187">
        <f t="shared" si="8"/>
        <v>0.83333333333333348</v>
      </c>
      <c r="H56" s="187"/>
      <c r="I56" s="188">
        <f t="shared" si="9"/>
        <v>43.758614762490772</v>
      </c>
      <c r="M56" s="190">
        <f t="shared" si="10"/>
        <v>437.58614762490782</v>
      </c>
      <c r="N56" s="190"/>
      <c r="O56" s="191">
        <f t="shared" si="11"/>
        <v>352.34861476249074</v>
      </c>
      <c r="P56" s="190">
        <f t="shared" si="12"/>
        <v>3523.486147624908</v>
      </c>
    </row>
    <row r="57" spans="1:16" s="189" customFormat="1" ht="12" customHeight="1">
      <c r="A57" s="181" t="s">
        <v>63</v>
      </c>
      <c r="B57" s="181" t="s">
        <v>64</v>
      </c>
      <c r="C57" s="185">
        <v>205.73</v>
      </c>
      <c r="D57" s="186">
        <v>16458.400000000005</v>
      </c>
      <c r="F57" s="187">
        <f t="shared" si="7"/>
        <v>80.000000000000028</v>
      </c>
      <c r="G57" s="187">
        <f t="shared" si="8"/>
        <v>6.6666666666666687</v>
      </c>
      <c r="H57" s="187"/>
      <c r="I57" s="188">
        <f t="shared" si="9"/>
        <v>29.172882514298024</v>
      </c>
      <c r="M57" s="190">
        <f t="shared" si="10"/>
        <v>2333.8306011438426</v>
      </c>
      <c r="N57" s="190"/>
      <c r="O57" s="191">
        <f t="shared" si="11"/>
        <v>234.90288251429803</v>
      </c>
      <c r="P57" s="190">
        <f t="shared" si="12"/>
        <v>18792.230601143849</v>
      </c>
    </row>
    <row r="58" spans="1:16" s="189" customFormat="1" ht="12" customHeight="1">
      <c r="A58" s="181" t="s">
        <v>65</v>
      </c>
      <c r="B58" s="181" t="s">
        <v>66</v>
      </c>
      <c r="C58" s="185">
        <v>308.58999999999997</v>
      </c>
      <c r="D58" s="186">
        <v>7406.1600000000008</v>
      </c>
      <c r="F58" s="187">
        <f t="shared" si="7"/>
        <v>24.000000000000004</v>
      </c>
      <c r="G58" s="187">
        <f t="shared" si="8"/>
        <v>2.0000000000000004</v>
      </c>
      <c r="H58" s="187"/>
      <c r="I58" s="188">
        <f t="shared" si="9"/>
        <v>43.758614762490772</v>
      </c>
      <c r="M58" s="190">
        <f t="shared" si="10"/>
        <v>1050.2067542997788</v>
      </c>
      <c r="N58" s="190"/>
      <c r="O58" s="191">
        <f t="shared" si="11"/>
        <v>352.34861476249074</v>
      </c>
      <c r="P58" s="190">
        <f t="shared" si="12"/>
        <v>8456.3667542997791</v>
      </c>
    </row>
    <row r="59" spans="1:16" s="189" customFormat="1" ht="12" customHeight="1">
      <c r="A59" s="181" t="s">
        <v>67</v>
      </c>
      <c r="B59" s="181" t="s">
        <v>68</v>
      </c>
      <c r="C59" s="185">
        <v>31.64</v>
      </c>
      <c r="D59" s="186">
        <v>1139.04</v>
      </c>
      <c r="F59" s="187">
        <f t="shared" si="7"/>
        <v>36</v>
      </c>
      <c r="G59" s="187">
        <f t="shared" si="8"/>
        <v>3</v>
      </c>
      <c r="H59" s="187"/>
      <c r="I59" s="188">
        <f t="shared" si="9"/>
        <v>4.4866086752169814</v>
      </c>
      <c r="M59" s="190">
        <f t="shared" si="10"/>
        <v>161.51791230781134</v>
      </c>
      <c r="N59" s="190"/>
      <c r="O59" s="191">
        <f t="shared" si="11"/>
        <v>36.126608675216985</v>
      </c>
      <c r="P59" s="190">
        <f t="shared" si="12"/>
        <v>1300.5579123078114</v>
      </c>
    </row>
    <row r="60" spans="1:16" s="189" customFormat="1" ht="12" customHeight="1">
      <c r="A60" s="181" t="s">
        <v>69</v>
      </c>
      <c r="B60" s="181" t="s">
        <v>70</v>
      </c>
      <c r="C60" s="185">
        <v>137.13</v>
      </c>
      <c r="D60" s="186">
        <v>90947.27</v>
      </c>
      <c r="F60" s="187">
        <f t="shared" si="7"/>
        <v>663.21935389776127</v>
      </c>
      <c r="G60" s="187">
        <f t="shared" si="8"/>
        <v>55.268279491480108</v>
      </c>
      <c r="H60" s="187"/>
      <c r="I60" s="188">
        <f t="shared" si="9"/>
        <v>19.445279634402802</v>
      </c>
      <c r="M60" s="190">
        <f t="shared" si="10"/>
        <v>12896.485795489922</v>
      </c>
      <c r="N60" s="190"/>
      <c r="O60" s="191">
        <f t="shared" si="11"/>
        <v>156.57527963440279</v>
      </c>
      <c r="P60" s="190">
        <f t="shared" si="12"/>
        <v>103843.75579548992</v>
      </c>
    </row>
    <row r="61" spans="1:16" s="189" customFormat="1" ht="12" customHeight="1">
      <c r="A61" s="181" t="s">
        <v>71</v>
      </c>
      <c r="B61" s="181" t="s">
        <v>72</v>
      </c>
      <c r="C61" s="185">
        <v>274.25</v>
      </c>
      <c r="D61" s="186">
        <v>6582</v>
      </c>
      <c r="F61" s="187">
        <f t="shared" si="7"/>
        <v>24</v>
      </c>
      <c r="G61" s="187">
        <f t="shared" si="8"/>
        <v>2</v>
      </c>
      <c r="H61" s="187"/>
      <c r="I61" s="188">
        <f t="shared" si="9"/>
        <v>38.889141250893083</v>
      </c>
      <c r="M61" s="190">
        <f t="shared" si="10"/>
        <v>933.33939002143393</v>
      </c>
      <c r="N61" s="190"/>
      <c r="O61" s="191">
        <f t="shared" si="11"/>
        <v>313.13914125089309</v>
      </c>
      <c r="P61" s="190">
        <f t="shared" si="12"/>
        <v>7515.3393900214342</v>
      </c>
    </row>
    <row r="62" spans="1:16" s="189" customFormat="1" ht="12" customHeight="1">
      <c r="A62" s="181" t="s">
        <v>73</v>
      </c>
      <c r="B62" s="181" t="s">
        <v>74</v>
      </c>
      <c r="C62" s="185">
        <v>411.38</v>
      </c>
      <c r="D62" s="186">
        <v>9873.1200000000008</v>
      </c>
      <c r="F62" s="187">
        <f t="shared" si="7"/>
        <v>24.000000000000004</v>
      </c>
      <c r="G62" s="187">
        <f t="shared" si="8"/>
        <v>2.0000000000000004</v>
      </c>
      <c r="H62" s="187"/>
      <c r="I62" s="188">
        <f t="shared" si="9"/>
        <v>58.334420885295884</v>
      </c>
      <c r="M62" s="190">
        <f t="shared" si="10"/>
        <v>1400.0261012471015</v>
      </c>
      <c r="N62" s="190"/>
      <c r="O62" s="191">
        <f t="shared" si="11"/>
        <v>469.71442088529591</v>
      </c>
      <c r="P62" s="190">
        <f t="shared" si="12"/>
        <v>11273.146101247103</v>
      </c>
    </row>
    <row r="63" spans="1:16" s="189" customFormat="1" ht="12" customHeight="1">
      <c r="A63" s="181" t="s">
        <v>75</v>
      </c>
      <c r="B63" s="181" t="s">
        <v>76</v>
      </c>
      <c r="C63" s="185">
        <v>193.92</v>
      </c>
      <c r="D63" s="186">
        <v>68647.680000000008</v>
      </c>
      <c r="F63" s="187">
        <f t="shared" si="7"/>
        <v>354.00000000000006</v>
      </c>
      <c r="G63" s="187">
        <f t="shared" si="8"/>
        <v>29.500000000000004</v>
      </c>
      <c r="H63" s="187"/>
      <c r="I63" s="188">
        <f t="shared" si="9"/>
        <v>27.498203359610521</v>
      </c>
      <c r="M63" s="190">
        <f t="shared" si="10"/>
        <v>9734.3639893021245</v>
      </c>
      <c r="N63" s="190"/>
      <c r="O63" s="191">
        <f t="shared" si="11"/>
        <v>221.41820335961052</v>
      </c>
      <c r="P63" s="190">
        <f t="shared" si="12"/>
        <v>78382.043989302125</v>
      </c>
    </row>
    <row r="64" spans="1:16" s="189" customFormat="1" ht="12" customHeight="1">
      <c r="A64" s="181" t="s">
        <v>77</v>
      </c>
      <c r="B64" s="181" t="s">
        <v>78</v>
      </c>
      <c r="C64" s="185">
        <v>387.83</v>
      </c>
      <c r="D64" s="186">
        <v>6787.0199999999995</v>
      </c>
      <c r="F64" s="187">
        <f t="shared" si="7"/>
        <v>17.499987107753398</v>
      </c>
      <c r="G64" s="187">
        <f t="shared" si="8"/>
        <v>1.4583322589794498</v>
      </c>
      <c r="H64" s="187"/>
      <c r="I64" s="188">
        <f t="shared" si="9"/>
        <v>54.994988701308522</v>
      </c>
      <c r="M64" s="190">
        <f t="shared" si="10"/>
        <v>962.4115932639429</v>
      </c>
      <c r="N64" s="190"/>
      <c r="O64" s="191">
        <f t="shared" si="11"/>
        <v>442.82498870130848</v>
      </c>
      <c r="P64" s="190">
        <f t="shared" si="12"/>
        <v>7749.431593263942</v>
      </c>
    </row>
    <row r="65" spans="1:16" s="189" customFormat="1" ht="12" customHeight="1">
      <c r="A65" s="181" t="s">
        <v>79</v>
      </c>
      <c r="B65" s="181" t="s">
        <v>80</v>
      </c>
      <c r="C65" s="185">
        <v>387.83</v>
      </c>
      <c r="D65" s="186">
        <v>23269.800000000003</v>
      </c>
      <c r="F65" s="187">
        <f t="shared" si="7"/>
        <v>60.000000000000007</v>
      </c>
      <c r="G65" s="187">
        <f t="shared" si="8"/>
        <v>5.0000000000000009</v>
      </c>
      <c r="H65" s="187"/>
      <c r="I65" s="188">
        <f t="shared" si="9"/>
        <v>54.994988701308522</v>
      </c>
      <c r="M65" s="190">
        <f t="shared" si="10"/>
        <v>3299.6993220785121</v>
      </c>
      <c r="N65" s="190"/>
      <c r="O65" s="191">
        <f t="shared" si="11"/>
        <v>442.82498870130848</v>
      </c>
      <c r="P65" s="190">
        <f t="shared" si="12"/>
        <v>26569.499322078515</v>
      </c>
    </row>
    <row r="66" spans="1:16" s="189" customFormat="1" ht="12" customHeight="1">
      <c r="A66" s="181" t="s">
        <v>81</v>
      </c>
      <c r="B66" s="181" t="s">
        <v>82</v>
      </c>
      <c r="C66" s="185">
        <v>581.75</v>
      </c>
      <c r="D66" s="186">
        <v>6981</v>
      </c>
      <c r="F66" s="187">
        <f t="shared" si="7"/>
        <v>12</v>
      </c>
      <c r="G66" s="187">
        <f t="shared" si="8"/>
        <v>1</v>
      </c>
      <c r="H66" s="187"/>
      <c r="I66" s="188">
        <f t="shared" si="9"/>
        <v>82.493192060919057</v>
      </c>
      <c r="M66" s="190">
        <f t="shared" si="10"/>
        <v>989.91830473102868</v>
      </c>
      <c r="N66" s="190"/>
      <c r="O66" s="191">
        <f t="shared" si="11"/>
        <v>664.243192060919</v>
      </c>
      <c r="P66" s="190">
        <f t="shared" si="12"/>
        <v>7970.9183047310289</v>
      </c>
    </row>
    <row r="67" spans="1:16" s="189" customFormat="1" ht="12" customHeight="1">
      <c r="A67" s="181" t="s">
        <v>460</v>
      </c>
      <c r="B67" s="181" t="s">
        <v>461</v>
      </c>
      <c r="C67" s="185">
        <v>1163.5</v>
      </c>
      <c r="D67" s="186">
        <v>11053.26</v>
      </c>
      <c r="F67" s="187">
        <f t="shared" si="7"/>
        <v>9.5000085947571975</v>
      </c>
      <c r="G67" s="187">
        <f t="shared" si="8"/>
        <v>0.79166738289643312</v>
      </c>
      <c r="H67" s="187"/>
      <c r="I67" s="188">
        <f t="shared" si="9"/>
        <v>164.98638412183811</v>
      </c>
      <c r="M67" s="190">
        <f t="shared" si="10"/>
        <v>1567.3720671753745</v>
      </c>
      <c r="N67" s="190"/>
      <c r="O67" s="191">
        <f t="shared" si="11"/>
        <v>1328.486384121838</v>
      </c>
      <c r="P67" s="190">
        <f t="shared" si="12"/>
        <v>12620.632067175375</v>
      </c>
    </row>
    <row r="68" spans="1:16" s="189" customFormat="1" ht="12" customHeight="1">
      <c r="A68" s="181" t="s">
        <v>83</v>
      </c>
      <c r="B68" s="181" t="s">
        <v>84</v>
      </c>
      <c r="C68" s="185">
        <v>257.54000000000002</v>
      </c>
      <c r="D68" s="186">
        <v>43073.64</v>
      </c>
      <c r="F68" s="187">
        <f t="shared" si="7"/>
        <v>167.25029121689832</v>
      </c>
      <c r="G68" s="187">
        <f t="shared" si="8"/>
        <v>13.93752426807486</v>
      </c>
      <c r="H68" s="187"/>
      <c r="I68" s="188">
        <f t="shared" si="9"/>
        <v>36.519633319070209</v>
      </c>
      <c r="M68" s="190">
        <f t="shared" si="10"/>
        <v>6107.9193077488353</v>
      </c>
      <c r="N68" s="190"/>
      <c r="O68" s="191">
        <f t="shared" si="11"/>
        <v>294.05963331907026</v>
      </c>
      <c r="P68" s="190">
        <f t="shared" si="12"/>
        <v>49181.559307748837</v>
      </c>
    </row>
    <row r="69" spans="1:16" s="189" customFormat="1" ht="12" customHeight="1">
      <c r="A69" s="181" t="s">
        <v>85</v>
      </c>
      <c r="B69" s="181" t="s">
        <v>86</v>
      </c>
      <c r="C69" s="185">
        <v>515.09</v>
      </c>
      <c r="D69" s="186">
        <v>19058.34</v>
      </c>
      <c r="F69" s="187">
        <f t="shared" si="7"/>
        <v>37.000019414082971</v>
      </c>
      <c r="G69" s="187">
        <f t="shared" si="8"/>
        <v>3.083334951173581</v>
      </c>
      <c r="H69" s="187"/>
      <c r="I69" s="188">
        <f t="shared" si="9"/>
        <v>73.040684656052932</v>
      </c>
      <c r="M69" s="190">
        <f t="shared" si="10"/>
        <v>2702.506750291871</v>
      </c>
      <c r="N69" s="190"/>
      <c r="O69" s="191">
        <f t="shared" si="11"/>
        <v>588.13068465605295</v>
      </c>
      <c r="P69" s="190">
        <f t="shared" si="12"/>
        <v>21760.846750291872</v>
      </c>
    </row>
    <row r="70" spans="1:16" s="189" customFormat="1" ht="12" customHeight="1">
      <c r="A70" s="181" t="s">
        <v>462</v>
      </c>
      <c r="B70" s="181" t="s">
        <v>463</v>
      </c>
      <c r="C70" s="185">
        <v>515.09</v>
      </c>
      <c r="D70" s="186">
        <v>5150.9000000000005</v>
      </c>
      <c r="F70" s="187">
        <f t="shared" si="7"/>
        <v>10</v>
      </c>
      <c r="G70" s="187">
        <f t="shared" si="8"/>
        <v>0.83333333333333337</v>
      </c>
      <c r="H70" s="187"/>
      <c r="I70" s="188">
        <f t="shared" si="9"/>
        <v>73.040684656052932</v>
      </c>
      <c r="M70" s="190">
        <f t="shared" si="10"/>
        <v>730.40684656052929</v>
      </c>
      <c r="N70" s="190"/>
      <c r="O70" s="191">
        <f t="shared" si="11"/>
        <v>588.13068465605295</v>
      </c>
      <c r="P70" s="190">
        <f t="shared" si="12"/>
        <v>5881.3068465605302</v>
      </c>
    </row>
    <row r="71" spans="1:16" s="189" customFormat="1" ht="12" customHeight="1">
      <c r="A71" s="181" t="s">
        <v>87</v>
      </c>
      <c r="B71" s="181" t="s">
        <v>88</v>
      </c>
      <c r="C71" s="185">
        <v>772.63</v>
      </c>
      <c r="D71" s="186">
        <v>9271.56</v>
      </c>
      <c r="F71" s="187">
        <f t="shared" si="7"/>
        <v>12</v>
      </c>
      <c r="G71" s="187">
        <f t="shared" si="8"/>
        <v>1</v>
      </c>
      <c r="H71" s="187"/>
      <c r="I71" s="188">
        <f t="shared" si="9"/>
        <v>109.56031797512314</v>
      </c>
      <c r="M71" s="190">
        <f t="shared" si="10"/>
        <v>1314.7238157014776</v>
      </c>
      <c r="N71" s="190"/>
      <c r="O71" s="191">
        <f t="shared" si="11"/>
        <v>882.19031797512309</v>
      </c>
      <c r="P71" s="190">
        <f t="shared" si="12"/>
        <v>10586.283815701478</v>
      </c>
    </row>
    <row r="72" spans="1:16" s="189" customFormat="1" ht="12" customHeight="1">
      <c r="A72" s="181" t="s">
        <v>89</v>
      </c>
      <c r="B72" s="181" t="s">
        <v>90</v>
      </c>
      <c r="C72" s="185">
        <v>1030.17</v>
      </c>
      <c r="D72" s="186">
        <v>12362.04</v>
      </c>
      <c r="F72" s="187">
        <f t="shared" si="7"/>
        <v>12</v>
      </c>
      <c r="G72" s="187">
        <f t="shared" si="8"/>
        <v>1</v>
      </c>
      <c r="H72" s="187"/>
      <c r="I72" s="188">
        <f t="shared" si="9"/>
        <v>146.07995129419336</v>
      </c>
      <c r="M72" s="190">
        <f t="shared" si="10"/>
        <v>1752.9594155303203</v>
      </c>
      <c r="N72" s="190"/>
      <c r="O72" s="191">
        <f t="shared" si="11"/>
        <v>1176.2499512941934</v>
      </c>
      <c r="P72" s="190">
        <f t="shared" si="12"/>
        <v>14114.999415530321</v>
      </c>
    </row>
    <row r="73" spans="1:16" s="189" customFormat="1" ht="12" customHeight="1">
      <c r="A73" s="181" t="s">
        <v>91</v>
      </c>
      <c r="B73" s="181" t="s">
        <v>92</v>
      </c>
      <c r="C73" s="185">
        <v>375.05</v>
      </c>
      <c r="D73" s="186">
        <v>40130.36</v>
      </c>
      <c r="F73" s="187">
        <f t="shared" si="7"/>
        <v>107.00002666311158</v>
      </c>
      <c r="G73" s="187">
        <f t="shared" si="8"/>
        <v>8.916668888592632</v>
      </c>
      <c r="H73" s="187"/>
      <c r="I73" s="188">
        <f t="shared" si="9"/>
        <v>53.182761809106474</v>
      </c>
      <c r="M73" s="190">
        <f t="shared" si="10"/>
        <v>5690.5569315923049</v>
      </c>
      <c r="N73" s="190"/>
      <c r="O73" s="191">
        <f t="shared" si="11"/>
        <v>428.23276180910648</v>
      </c>
      <c r="P73" s="190">
        <f t="shared" si="12"/>
        <v>45820.916931592306</v>
      </c>
    </row>
    <row r="74" spans="1:16" s="189" customFormat="1" ht="12" customHeight="1">
      <c r="A74" s="181" t="s">
        <v>93</v>
      </c>
      <c r="B74" s="181" t="s">
        <v>94</v>
      </c>
      <c r="C74" s="185">
        <v>750.11</v>
      </c>
      <c r="D74" s="186">
        <v>7501.0999999999985</v>
      </c>
      <c r="F74" s="187">
        <f t="shared" si="7"/>
        <v>9.9999999999999982</v>
      </c>
      <c r="G74" s="187">
        <f t="shared" si="8"/>
        <v>0.83333333333333315</v>
      </c>
      <c r="H74" s="187"/>
      <c r="I74" s="188">
        <f t="shared" si="9"/>
        <v>106.36694163612546</v>
      </c>
      <c r="M74" s="190">
        <f t="shared" si="10"/>
        <v>1063.6694163612542</v>
      </c>
      <c r="N74" s="190"/>
      <c r="O74" s="191">
        <f t="shared" si="11"/>
        <v>856.4769416361255</v>
      </c>
      <c r="P74" s="190">
        <f t="shared" si="12"/>
        <v>8564.7694163612523</v>
      </c>
    </row>
    <row r="75" spans="1:16" s="189" customFormat="1" ht="12" customHeight="1">
      <c r="A75" s="181" t="s">
        <v>95</v>
      </c>
      <c r="B75" s="181" t="s">
        <v>96</v>
      </c>
      <c r="C75" s="185">
        <v>750.11</v>
      </c>
      <c r="D75" s="186">
        <v>9001.32</v>
      </c>
      <c r="F75" s="187">
        <f t="shared" si="7"/>
        <v>12</v>
      </c>
      <c r="G75" s="187">
        <f t="shared" si="8"/>
        <v>1</v>
      </c>
      <c r="H75" s="187"/>
      <c r="I75" s="188">
        <f t="shared" si="9"/>
        <v>106.36694163612546</v>
      </c>
      <c r="M75" s="190">
        <f t="shared" si="10"/>
        <v>1276.4032996335054</v>
      </c>
      <c r="N75" s="190"/>
      <c r="O75" s="191">
        <f t="shared" si="11"/>
        <v>856.4769416361255</v>
      </c>
      <c r="P75" s="190">
        <f t="shared" si="12"/>
        <v>10277.723299633504</v>
      </c>
    </row>
    <row r="76" spans="1:16" s="189" customFormat="1" ht="12" customHeight="1">
      <c r="A76" s="181" t="s">
        <v>97</v>
      </c>
      <c r="B76" s="181" t="s">
        <v>98</v>
      </c>
      <c r="C76" s="185">
        <v>1500.21</v>
      </c>
      <c r="D76" s="186">
        <v>18002.519999999997</v>
      </c>
      <c r="F76" s="187">
        <f t="shared" si="7"/>
        <v>11.999999999999998</v>
      </c>
      <c r="G76" s="187">
        <f t="shared" si="8"/>
        <v>0.99999999999999989</v>
      </c>
      <c r="H76" s="187"/>
      <c r="I76" s="188">
        <f t="shared" si="9"/>
        <v>212.73246525433842</v>
      </c>
      <c r="M76" s="190">
        <f t="shared" si="10"/>
        <v>2552.7895830520606</v>
      </c>
      <c r="N76" s="190"/>
      <c r="O76" s="191">
        <f t="shared" si="11"/>
        <v>1712.9424652543385</v>
      </c>
      <c r="P76" s="190">
        <f t="shared" si="12"/>
        <v>20555.309583052058</v>
      </c>
    </row>
    <row r="77" spans="1:16" s="189" customFormat="1" ht="12" customHeight="1">
      <c r="A77" s="181" t="s">
        <v>346</v>
      </c>
      <c r="B77" s="181" t="s">
        <v>347</v>
      </c>
      <c r="C77" s="185">
        <v>1875.26</v>
      </c>
      <c r="D77" s="186">
        <v>22503.119999999995</v>
      </c>
      <c r="F77" s="187">
        <f t="shared" si="7"/>
        <v>11.999999999999998</v>
      </c>
      <c r="G77" s="187">
        <f t="shared" si="8"/>
        <v>0.99999999999999989</v>
      </c>
      <c r="H77" s="187"/>
      <c r="I77" s="188">
        <f t="shared" si="9"/>
        <v>265.91522706344489</v>
      </c>
      <c r="M77" s="190">
        <f t="shared" si="10"/>
        <v>3190.982724761338</v>
      </c>
      <c r="N77" s="190"/>
      <c r="O77" s="191">
        <f t="shared" si="11"/>
        <v>2141.1752270634447</v>
      </c>
      <c r="P77" s="190">
        <f t="shared" si="12"/>
        <v>25694.102724761335</v>
      </c>
    </row>
    <row r="78" spans="1:16" s="189" customFormat="1" ht="12" customHeight="1">
      <c r="A78" s="181" t="s">
        <v>99</v>
      </c>
      <c r="B78" s="181" t="s">
        <v>100</v>
      </c>
      <c r="C78" s="185">
        <v>488.17</v>
      </c>
      <c r="D78" s="186">
        <v>5858.04</v>
      </c>
      <c r="F78" s="187">
        <f t="shared" si="7"/>
        <v>12</v>
      </c>
      <c r="G78" s="187">
        <f t="shared" si="8"/>
        <v>1</v>
      </c>
      <c r="H78" s="187"/>
      <c r="I78" s="188">
        <f t="shared" si="9"/>
        <v>69.223380435545948</v>
      </c>
      <c r="M78" s="190">
        <f t="shared" si="10"/>
        <v>830.68056522655138</v>
      </c>
      <c r="N78" s="190"/>
      <c r="O78" s="191">
        <f t="shared" si="11"/>
        <v>557.39338043554596</v>
      </c>
      <c r="P78" s="190">
        <f t="shared" si="12"/>
        <v>6688.7205652265511</v>
      </c>
    </row>
    <row r="79" spans="1:16" s="189" customFormat="1" ht="12" customHeight="1">
      <c r="A79" s="181" t="s">
        <v>101</v>
      </c>
      <c r="B79" s="181" t="s">
        <v>102</v>
      </c>
      <c r="C79" s="185">
        <v>976.33</v>
      </c>
      <c r="D79" s="186">
        <v>11715.960000000001</v>
      </c>
      <c r="F79" s="187">
        <f t="shared" si="7"/>
        <v>12</v>
      </c>
      <c r="G79" s="187">
        <f t="shared" si="8"/>
        <v>1</v>
      </c>
      <c r="H79" s="187"/>
      <c r="I79" s="188">
        <f t="shared" si="9"/>
        <v>138.44534285317937</v>
      </c>
      <c r="M79" s="190">
        <f t="shared" si="10"/>
        <v>1661.3441142381525</v>
      </c>
      <c r="N79" s="190"/>
      <c r="O79" s="191">
        <f t="shared" si="11"/>
        <v>1114.7753428531794</v>
      </c>
      <c r="P79" s="190">
        <f t="shared" si="12"/>
        <v>13377.304114238153</v>
      </c>
    </row>
    <row r="80" spans="1:16" s="189" customFormat="1" ht="12" customHeight="1">
      <c r="A80" s="181" t="s">
        <v>103</v>
      </c>
      <c r="B80" s="181" t="s">
        <v>104</v>
      </c>
      <c r="C80" s="185">
        <v>18.5</v>
      </c>
      <c r="D80" s="186">
        <v>10614.42</v>
      </c>
      <c r="F80" s="187">
        <f t="shared" si="7"/>
        <v>573.75243243243244</v>
      </c>
      <c r="G80" s="187">
        <f t="shared" si="8"/>
        <v>47.812702702702701</v>
      </c>
      <c r="H80" s="187"/>
      <c r="I80" s="188">
        <f t="shared" si="9"/>
        <v>2.6233331381641642</v>
      </c>
      <c r="M80" s="190">
        <f t="shared" si="10"/>
        <v>1505.1437691022957</v>
      </c>
      <c r="N80" s="190"/>
      <c r="O80" s="191">
        <f t="shared" si="11"/>
        <v>21.123333138164163</v>
      </c>
      <c r="P80" s="190">
        <f t="shared" si="12"/>
        <v>12119.563769102297</v>
      </c>
    </row>
    <row r="81" spans="1:16" s="189" customFormat="1" ht="12" customHeight="1">
      <c r="A81" s="181" t="s">
        <v>105</v>
      </c>
      <c r="B81" s="181" t="s">
        <v>106</v>
      </c>
      <c r="C81" s="185">
        <v>36.9</v>
      </c>
      <c r="D81" s="186">
        <v>2887.43</v>
      </c>
      <c r="F81" s="187">
        <f t="shared" si="7"/>
        <v>78.250135501355018</v>
      </c>
      <c r="G81" s="187">
        <f t="shared" si="8"/>
        <v>6.5208446251129182</v>
      </c>
      <c r="H81" s="187"/>
      <c r="I81" s="188">
        <f t="shared" si="9"/>
        <v>5.2324860972031164</v>
      </c>
      <c r="M81" s="190">
        <f t="shared" ref="M81:M129" si="13">G81*SUM(I81:J81)*12</f>
        <v>409.44274611510014</v>
      </c>
      <c r="N81" s="190"/>
      <c r="O81" s="191">
        <f t="shared" si="11"/>
        <v>42.132486097203113</v>
      </c>
      <c r="P81" s="190">
        <f t="shared" si="12"/>
        <v>3296.8727461151002</v>
      </c>
    </row>
    <row r="82" spans="1:16" s="189" customFormat="1" ht="12" customHeight="1">
      <c r="A82" s="181" t="s">
        <v>348</v>
      </c>
      <c r="B82" s="181" t="s">
        <v>349</v>
      </c>
      <c r="C82" s="185">
        <v>55.35</v>
      </c>
      <c r="D82" s="186">
        <v>0</v>
      </c>
      <c r="F82" s="187">
        <f t="shared" si="7"/>
        <v>0</v>
      </c>
      <c r="G82" s="187">
        <f t="shared" si="8"/>
        <v>0</v>
      </c>
      <c r="H82" s="187"/>
      <c r="I82" s="188">
        <f t="shared" si="9"/>
        <v>7.8487291458046746</v>
      </c>
      <c r="M82" s="190">
        <f t="shared" si="13"/>
        <v>0</v>
      </c>
      <c r="N82" s="190"/>
      <c r="O82" s="191">
        <f t="shared" si="11"/>
        <v>63.198729145804677</v>
      </c>
      <c r="P82" s="190">
        <f t="shared" si="12"/>
        <v>0</v>
      </c>
    </row>
    <row r="83" spans="1:16" s="189" customFormat="1" ht="12" customHeight="1">
      <c r="A83" s="181" t="s">
        <v>107</v>
      </c>
      <c r="B83" s="181" t="s">
        <v>108</v>
      </c>
      <c r="C83" s="185">
        <v>34.409999999999997</v>
      </c>
      <c r="D83" s="186">
        <v>15178.949999999999</v>
      </c>
      <c r="F83" s="187">
        <f t="shared" si="7"/>
        <v>441.12031386224936</v>
      </c>
      <c r="G83" s="187">
        <f t="shared" si="8"/>
        <v>36.760026155187447</v>
      </c>
      <c r="H83" s="187"/>
      <c r="I83" s="188">
        <f t="shared" si="9"/>
        <v>4.8793996369853447</v>
      </c>
      <c r="M83" s="190">
        <f t="shared" si="13"/>
        <v>2152.4022993263211</v>
      </c>
      <c r="N83" s="190"/>
      <c r="O83" s="191">
        <f t="shared" si="11"/>
        <v>39.289399636985344</v>
      </c>
      <c r="P83" s="190">
        <f t="shared" si="12"/>
        <v>17331.352299326321</v>
      </c>
    </row>
    <row r="84" spans="1:16" s="189" customFormat="1" ht="12" customHeight="1">
      <c r="A84" s="181" t="s">
        <v>350</v>
      </c>
      <c r="B84" s="181" t="s">
        <v>351</v>
      </c>
      <c r="C84" s="185">
        <v>68.83</v>
      </c>
      <c r="D84" s="186">
        <v>3303.8400000000006</v>
      </c>
      <c r="F84" s="187">
        <f t="shared" si="7"/>
        <v>48.000000000000007</v>
      </c>
      <c r="G84" s="187">
        <f t="shared" si="8"/>
        <v>4.0000000000000009</v>
      </c>
      <c r="H84" s="187"/>
      <c r="I84" s="188">
        <f t="shared" si="9"/>
        <v>9.7602172918832117</v>
      </c>
      <c r="M84" s="190">
        <f t="shared" si="13"/>
        <v>468.49043001039422</v>
      </c>
      <c r="N84" s="190"/>
      <c r="O84" s="191">
        <f t="shared" si="11"/>
        <v>78.590217291883206</v>
      </c>
      <c r="P84" s="190">
        <f t="shared" si="12"/>
        <v>3772.3304300103946</v>
      </c>
    </row>
    <row r="85" spans="1:16" s="189" customFormat="1" ht="12" customHeight="1">
      <c r="A85" s="181" t="s">
        <v>109</v>
      </c>
      <c r="B85" s="181" t="s">
        <v>110</v>
      </c>
      <c r="C85" s="185">
        <v>172.07</v>
      </c>
      <c r="D85" s="186">
        <v>2064.8399999999997</v>
      </c>
      <c r="F85" s="187">
        <f t="shared" si="7"/>
        <v>11.999999999999998</v>
      </c>
      <c r="G85" s="187">
        <f t="shared" si="8"/>
        <v>0.99999999999999989</v>
      </c>
      <c r="H85" s="187"/>
      <c r="I85" s="188">
        <f t="shared" si="9"/>
        <v>24.399834220751767</v>
      </c>
      <c r="M85" s="190">
        <f t="shared" si="13"/>
        <v>292.79801064902119</v>
      </c>
      <c r="N85" s="190"/>
      <c r="O85" s="191">
        <f t="shared" si="11"/>
        <v>196.46983422075175</v>
      </c>
      <c r="P85" s="190">
        <f t="shared" si="12"/>
        <v>2357.638010649021</v>
      </c>
    </row>
    <row r="86" spans="1:16" s="189" customFormat="1" ht="12" customHeight="1">
      <c r="A86" s="181" t="s">
        <v>111</v>
      </c>
      <c r="B86" s="181" t="s">
        <v>112</v>
      </c>
      <c r="C86" s="185">
        <v>41.17</v>
      </c>
      <c r="D86" s="186">
        <v>66345.48</v>
      </c>
      <c r="F86" s="187">
        <f t="shared" si="7"/>
        <v>1611.5006072382801</v>
      </c>
      <c r="G86" s="187">
        <f t="shared" si="8"/>
        <v>134.29171726985666</v>
      </c>
      <c r="H86" s="187"/>
      <c r="I86" s="188">
        <f t="shared" si="9"/>
        <v>5.8379797458496565</v>
      </c>
      <c r="M86" s="190">
        <f t="shared" si="13"/>
        <v>9407.9079054815011</v>
      </c>
      <c r="N86" s="190"/>
      <c r="O86" s="191">
        <f t="shared" si="11"/>
        <v>47.00797974584966</v>
      </c>
      <c r="P86" s="190">
        <f t="shared" si="12"/>
        <v>75753.387905481504</v>
      </c>
    </row>
    <row r="87" spans="1:16" s="189" customFormat="1" ht="12" customHeight="1">
      <c r="A87" s="181" t="s">
        <v>113</v>
      </c>
      <c r="B87" s="181" t="s">
        <v>114</v>
      </c>
      <c r="C87" s="185">
        <v>82.33</v>
      </c>
      <c r="D87" s="186">
        <v>12915.13</v>
      </c>
      <c r="F87" s="187">
        <f t="shared" si="7"/>
        <v>156.87027814891292</v>
      </c>
      <c r="G87" s="187">
        <f t="shared" si="8"/>
        <v>13.072523179076077</v>
      </c>
      <c r="H87" s="187"/>
      <c r="I87" s="188">
        <f t="shared" si="9"/>
        <v>11.674541473786791</v>
      </c>
      <c r="M87" s="190">
        <f t="shared" si="13"/>
        <v>1831.3885682539535</v>
      </c>
      <c r="N87" s="190"/>
      <c r="O87" s="191">
        <f t="shared" si="11"/>
        <v>94.004541473786787</v>
      </c>
      <c r="P87" s="190">
        <f t="shared" si="12"/>
        <v>14746.518568253952</v>
      </c>
    </row>
    <row r="88" spans="1:16" s="189" customFormat="1" ht="12" customHeight="1">
      <c r="A88" s="181" t="s">
        <v>115</v>
      </c>
      <c r="B88" s="181" t="s">
        <v>116</v>
      </c>
      <c r="C88" s="185">
        <v>82.33</v>
      </c>
      <c r="D88" s="186">
        <v>987.97000000000025</v>
      </c>
      <c r="F88" s="187">
        <f t="shared" si="7"/>
        <v>12.000121462407389</v>
      </c>
      <c r="G88" s="187">
        <f t="shared" si="8"/>
        <v>1.0000101218672823</v>
      </c>
      <c r="H88" s="187"/>
      <c r="I88" s="188">
        <f t="shared" si="9"/>
        <v>11.674541473786791</v>
      </c>
      <c r="M88" s="190">
        <f t="shared" si="13"/>
        <v>140.09591570335405</v>
      </c>
      <c r="N88" s="190"/>
      <c r="O88" s="191">
        <f t="shared" si="11"/>
        <v>94.004541473786787</v>
      </c>
      <c r="P88" s="190">
        <f t="shared" si="12"/>
        <v>1128.0659157033542</v>
      </c>
    </row>
    <row r="89" spans="1:16" s="189" customFormat="1" ht="12" customHeight="1">
      <c r="A89" s="181" t="s">
        <v>117</v>
      </c>
      <c r="B89" s="181" t="s">
        <v>118</v>
      </c>
      <c r="C89" s="185">
        <v>329.3</v>
      </c>
      <c r="D89" s="186">
        <v>3951.6000000000008</v>
      </c>
      <c r="F89" s="187">
        <f t="shared" si="7"/>
        <v>12.000000000000002</v>
      </c>
      <c r="G89" s="187">
        <f t="shared" si="8"/>
        <v>1.0000000000000002</v>
      </c>
      <c r="H89" s="187"/>
      <c r="I89" s="188">
        <f t="shared" si="9"/>
        <v>46.695329859322122</v>
      </c>
      <c r="M89" s="190">
        <f t="shared" si="13"/>
        <v>560.34395831186555</v>
      </c>
      <c r="N89" s="190"/>
      <c r="O89" s="191">
        <f t="shared" si="11"/>
        <v>375.99532985932211</v>
      </c>
      <c r="P89" s="190">
        <f t="shared" si="12"/>
        <v>4511.9439583118665</v>
      </c>
    </row>
    <row r="90" spans="1:16" s="189" customFormat="1" ht="12" customHeight="1">
      <c r="A90" s="181" t="s">
        <v>139</v>
      </c>
      <c r="B90" s="181" t="s">
        <v>140</v>
      </c>
      <c r="C90" s="185">
        <v>18.36</v>
      </c>
      <c r="D90" s="186">
        <v>110.16</v>
      </c>
      <c r="F90" s="187">
        <f t="shared" si="7"/>
        <v>6</v>
      </c>
      <c r="G90" s="187">
        <f t="shared" si="8"/>
        <v>0.5</v>
      </c>
      <c r="H90" s="187"/>
      <c r="I90" s="188">
        <f t="shared" si="9"/>
        <v>2.6034808873888675</v>
      </c>
      <c r="M90" s="190">
        <f t="shared" si="13"/>
        <v>15.620885324333205</v>
      </c>
      <c r="N90" s="190"/>
      <c r="O90" s="191">
        <f t="shared" si="11"/>
        <v>20.963480887388869</v>
      </c>
      <c r="P90" s="190">
        <f t="shared" si="12"/>
        <v>125.7808853243332</v>
      </c>
    </row>
    <row r="91" spans="1:16" s="189" customFormat="1" ht="12" customHeight="1">
      <c r="A91" s="181" t="s">
        <v>137</v>
      </c>
      <c r="B91" s="181" t="s">
        <v>138</v>
      </c>
      <c r="C91" s="185">
        <v>27.66</v>
      </c>
      <c r="D91" s="186">
        <v>165.96</v>
      </c>
      <c r="F91" s="187">
        <f t="shared" si="7"/>
        <v>6</v>
      </c>
      <c r="G91" s="187">
        <f t="shared" si="8"/>
        <v>0.5</v>
      </c>
      <c r="H91" s="187"/>
      <c r="I91" s="188">
        <f t="shared" si="9"/>
        <v>3.9222375460335557</v>
      </c>
      <c r="M91" s="190">
        <f t="shared" si="13"/>
        <v>23.533425276201335</v>
      </c>
      <c r="N91" s="190"/>
      <c r="O91" s="191">
        <f t="shared" si="11"/>
        <v>31.582237546033557</v>
      </c>
      <c r="P91" s="190">
        <f t="shared" si="12"/>
        <v>189.49342527620135</v>
      </c>
    </row>
    <row r="92" spans="1:16" s="189" customFormat="1" ht="12" customHeight="1">
      <c r="A92" s="181" t="s">
        <v>141</v>
      </c>
      <c r="B92" s="181" t="s">
        <v>142</v>
      </c>
      <c r="C92" s="185">
        <v>38.18</v>
      </c>
      <c r="D92" s="186">
        <v>1030.44</v>
      </c>
      <c r="F92" s="187">
        <f t="shared" si="7"/>
        <v>26.988999476165532</v>
      </c>
      <c r="G92" s="187">
        <f t="shared" si="8"/>
        <v>2.2490832896804611</v>
      </c>
      <c r="H92" s="187"/>
      <c r="I92" s="188">
        <f t="shared" si="9"/>
        <v>5.4139923900058262</v>
      </c>
      <c r="M92" s="190">
        <f t="shared" si="13"/>
        <v>146.11823777783141</v>
      </c>
      <c r="N92" s="190"/>
      <c r="O92" s="191">
        <f t="shared" si="11"/>
        <v>43.593992390005823</v>
      </c>
      <c r="P92" s="190">
        <f t="shared" si="12"/>
        <v>1176.5582377778314</v>
      </c>
    </row>
    <row r="93" spans="1:16" s="189" customFormat="1" ht="12" customHeight="1">
      <c r="A93" s="181" t="s">
        <v>143</v>
      </c>
      <c r="B93" s="181" t="s">
        <v>144</v>
      </c>
      <c r="C93" s="185">
        <v>51.27</v>
      </c>
      <c r="D93" s="186">
        <v>3024.9299999999994</v>
      </c>
      <c r="F93" s="187">
        <f t="shared" si="7"/>
        <v>58.999999999999986</v>
      </c>
      <c r="G93" s="187">
        <f t="shared" si="8"/>
        <v>4.9166666666666652</v>
      </c>
      <c r="H93" s="187"/>
      <c r="I93" s="188">
        <f t="shared" si="9"/>
        <v>7.2701778374960382</v>
      </c>
      <c r="M93" s="190">
        <f t="shared" si="13"/>
        <v>428.94049241226611</v>
      </c>
      <c r="N93" s="190"/>
      <c r="O93" s="191">
        <f t="shared" si="11"/>
        <v>58.540177837496039</v>
      </c>
      <c r="P93" s="190">
        <f t="shared" si="12"/>
        <v>3453.8704924122653</v>
      </c>
    </row>
    <row r="94" spans="1:16" s="189" customFormat="1" ht="12" customHeight="1">
      <c r="A94" s="181" t="s">
        <v>145</v>
      </c>
      <c r="B94" s="181" t="s">
        <v>146</v>
      </c>
      <c r="C94" s="185">
        <v>67.27</v>
      </c>
      <c r="D94" s="186">
        <v>8038.7599999999993</v>
      </c>
      <c r="F94" s="187">
        <f t="shared" si="7"/>
        <v>119.4999256726624</v>
      </c>
      <c r="G94" s="187">
        <f t="shared" si="8"/>
        <v>9.9583271393885333</v>
      </c>
      <c r="H94" s="187"/>
      <c r="I94" s="188">
        <f t="shared" si="9"/>
        <v>9.5390064975299076</v>
      </c>
      <c r="M94" s="190">
        <f t="shared" si="13"/>
        <v>1139.9105674458676</v>
      </c>
      <c r="N94" s="190"/>
      <c r="O94" s="191">
        <f t="shared" si="11"/>
        <v>76.809006497529907</v>
      </c>
      <c r="P94" s="190">
        <f t="shared" si="12"/>
        <v>9178.6705674458663</v>
      </c>
    </row>
    <row r="95" spans="1:16" s="189" customFormat="1" ht="12" customHeight="1">
      <c r="A95" s="181" t="s">
        <v>121</v>
      </c>
      <c r="B95" s="181" t="s">
        <v>122</v>
      </c>
      <c r="C95" s="185">
        <v>4.26</v>
      </c>
      <c r="D95" s="186">
        <v>14080.189999999999</v>
      </c>
      <c r="F95" s="187">
        <f t="shared" si="7"/>
        <v>3305.2089201877934</v>
      </c>
      <c r="G95" s="187">
        <f t="shared" si="8"/>
        <v>275.43407668231612</v>
      </c>
      <c r="H95" s="187"/>
      <c r="I95" s="188">
        <f t="shared" si="9"/>
        <v>0.60407563073401827</v>
      </c>
      <c r="M95" s="190">
        <f t="shared" si="13"/>
        <v>1996.5961631701448</v>
      </c>
      <c r="N95" s="190"/>
      <c r="O95" s="191">
        <f t="shared" si="11"/>
        <v>4.8640756307340176</v>
      </c>
      <c r="P95" s="190">
        <f t="shared" si="12"/>
        <v>16076.786163170143</v>
      </c>
    </row>
    <row r="96" spans="1:16" s="189" customFormat="1" ht="12" customHeight="1">
      <c r="A96" s="181" t="s">
        <v>123</v>
      </c>
      <c r="B96" s="181" t="s">
        <v>124</v>
      </c>
      <c r="C96" s="185">
        <v>4.26</v>
      </c>
      <c r="D96" s="186">
        <v>25.559999999999995</v>
      </c>
      <c r="F96" s="187">
        <f t="shared" si="7"/>
        <v>5.9999999999999991</v>
      </c>
      <c r="G96" s="187">
        <f t="shared" si="8"/>
        <v>0.49999999999999994</v>
      </c>
      <c r="H96" s="187"/>
      <c r="I96" s="188">
        <f t="shared" si="9"/>
        <v>0.60407563073401827</v>
      </c>
      <c r="M96" s="190">
        <f t="shared" si="13"/>
        <v>3.6244537844041087</v>
      </c>
      <c r="N96" s="190"/>
      <c r="O96" s="191">
        <f t="shared" si="11"/>
        <v>4.8640756307340176</v>
      </c>
      <c r="P96" s="190">
        <f t="shared" si="12"/>
        <v>29.184453784404106</v>
      </c>
    </row>
    <row r="97" spans="1:16" s="189" customFormat="1" ht="12" customHeight="1">
      <c r="A97" s="181" t="s">
        <v>125</v>
      </c>
      <c r="B97" s="181" t="s">
        <v>126</v>
      </c>
      <c r="C97" s="185">
        <v>4.26</v>
      </c>
      <c r="D97" s="186">
        <v>0</v>
      </c>
      <c r="F97" s="187">
        <f t="shared" si="7"/>
        <v>0</v>
      </c>
      <c r="G97" s="187">
        <f t="shared" si="8"/>
        <v>0</v>
      </c>
      <c r="H97" s="187"/>
      <c r="I97" s="188">
        <f t="shared" si="9"/>
        <v>0.60407563073401827</v>
      </c>
      <c r="M97" s="190">
        <f t="shared" si="13"/>
        <v>0</v>
      </c>
      <c r="N97" s="190"/>
      <c r="O97" s="191">
        <f t="shared" si="11"/>
        <v>4.8640756307340176</v>
      </c>
      <c r="P97" s="190">
        <f t="shared" si="12"/>
        <v>0</v>
      </c>
    </row>
    <row r="98" spans="1:16" s="189" customFormat="1" ht="12" customHeight="1">
      <c r="A98" s="181" t="s">
        <v>127</v>
      </c>
      <c r="B98" s="181" t="s">
        <v>128</v>
      </c>
      <c r="C98" s="185">
        <v>38.159999999999997</v>
      </c>
      <c r="D98" s="186">
        <v>343.43999999999994</v>
      </c>
      <c r="F98" s="187">
        <f t="shared" si="7"/>
        <v>9</v>
      </c>
      <c r="G98" s="187">
        <f t="shared" si="8"/>
        <v>0.75</v>
      </c>
      <c r="H98" s="187"/>
      <c r="I98" s="188">
        <f t="shared" si="9"/>
        <v>5.4111563541807834</v>
      </c>
      <c r="M98" s="190">
        <f t="shared" si="13"/>
        <v>48.70040718762705</v>
      </c>
      <c r="N98" s="190"/>
      <c r="O98" s="191">
        <f t="shared" si="11"/>
        <v>43.571156354180779</v>
      </c>
      <c r="P98" s="190">
        <f t="shared" si="12"/>
        <v>392.14040718762698</v>
      </c>
    </row>
    <row r="99" spans="1:16" s="189" customFormat="1" ht="12" customHeight="1">
      <c r="A99" s="181" t="s">
        <v>129</v>
      </c>
      <c r="B99" s="181" t="s">
        <v>130</v>
      </c>
      <c r="C99" s="185">
        <v>54.86</v>
      </c>
      <c r="D99" s="186">
        <v>1261.1199999999997</v>
      </c>
      <c r="F99" s="187">
        <f t="shared" si="7"/>
        <v>22.987969376594965</v>
      </c>
      <c r="G99" s="187">
        <f t="shared" si="8"/>
        <v>1.915664114716247</v>
      </c>
      <c r="H99" s="187"/>
      <c r="I99" s="188">
        <f t="shared" si="9"/>
        <v>7.7792462680911374</v>
      </c>
      <c r="M99" s="190">
        <f t="shared" si="13"/>
        <v>178.82907498386973</v>
      </c>
      <c r="N99" s="190"/>
      <c r="O99" s="191">
        <f t="shared" si="11"/>
        <v>62.639246268091135</v>
      </c>
      <c r="P99" s="190">
        <f t="shared" si="12"/>
        <v>1439.9490749838694</v>
      </c>
    </row>
    <row r="100" spans="1:16" s="189" customFormat="1" ht="12" customHeight="1">
      <c r="A100" s="181" t="s">
        <v>131</v>
      </c>
      <c r="B100" s="181" t="s">
        <v>132</v>
      </c>
      <c r="C100" s="185">
        <v>64.63</v>
      </c>
      <c r="D100" s="186">
        <v>1679.9599999999996</v>
      </c>
      <c r="F100" s="187">
        <f t="shared" si="7"/>
        <v>25.993501469905613</v>
      </c>
      <c r="G100" s="187">
        <f t="shared" si="8"/>
        <v>2.1661251224921343</v>
      </c>
      <c r="H100" s="187"/>
      <c r="I100" s="188">
        <f t="shared" si="9"/>
        <v>9.1646497686243187</v>
      </c>
      <c r="M100" s="190">
        <f t="shared" si="13"/>
        <v>238.22133723190635</v>
      </c>
      <c r="N100" s="190"/>
      <c r="O100" s="191">
        <f t="shared" si="11"/>
        <v>73.794649768624311</v>
      </c>
      <c r="P100" s="190">
        <f t="shared" si="12"/>
        <v>1918.1813372319059</v>
      </c>
    </row>
    <row r="101" spans="1:16" s="189" customFormat="1" ht="12" customHeight="1">
      <c r="A101" s="181" t="s">
        <v>133</v>
      </c>
      <c r="B101" s="181" t="s">
        <v>134</v>
      </c>
      <c r="C101" s="185">
        <v>83.33</v>
      </c>
      <c r="D101" s="186">
        <v>916.63000000000011</v>
      </c>
      <c r="F101" s="187">
        <f t="shared" si="7"/>
        <v>11.000000000000002</v>
      </c>
      <c r="G101" s="187">
        <f t="shared" si="8"/>
        <v>0.91666666666666685</v>
      </c>
      <c r="H101" s="187"/>
      <c r="I101" s="188">
        <f t="shared" si="9"/>
        <v>11.816343265038908</v>
      </c>
      <c r="M101" s="190">
        <f t="shared" si="13"/>
        <v>129.97977591542801</v>
      </c>
      <c r="N101" s="190"/>
      <c r="O101" s="191">
        <f t="shared" si="11"/>
        <v>95.146343265038908</v>
      </c>
      <c r="P101" s="190">
        <f t="shared" si="12"/>
        <v>1046.6097759154281</v>
      </c>
    </row>
    <row r="102" spans="1:16" s="189" customFormat="1" ht="12" customHeight="1">
      <c r="A102" s="181" t="s">
        <v>135</v>
      </c>
      <c r="B102" s="181" t="s">
        <v>136</v>
      </c>
      <c r="C102" s="185">
        <v>103.23</v>
      </c>
      <c r="D102" s="186">
        <v>1341.99</v>
      </c>
      <c r="F102" s="187">
        <f t="shared" si="7"/>
        <v>13</v>
      </c>
      <c r="G102" s="187">
        <f t="shared" si="8"/>
        <v>1.0833333333333333</v>
      </c>
      <c r="H102" s="187"/>
      <c r="I102" s="188">
        <f t="shared" si="9"/>
        <v>14.638198910956037</v>
      </c>
      <c r="M102" s="190">
        <f t="shared" si="13"/>
        <v>190.29658584242847</v>
      </c>
      <c r="N102" s="190"/>
      <c r="O102" s="191">
        <f t="shared" si="11"/>
        <v>117.86819891095604</v>
      </c>
      <c r="P102" s="190">
        <f t="shared" si="12"/>
        <v>1532.2865858424284</v>
      </c>
    </row>
    <row r="103" spans="1:16" s="189" customFormat="1" ht="12" customHeight="1">
      <c r="A103" s="181" t="s">
        <v>352</v>
      </c>
      <c r="B103" s="181" t="s">
        <v>353</v>
      </c>
      <c r="C103" s="185">
        <v>139.16</v>
      </c>
      <c r="D103" s="186">
        <v>298.86</v>
      </c>
      <c r="F103" s="187">
        <f t="shared" si="7"/>
        <v>2.1475998850244324</v>
      </c>
      <c r="G103" s="187">
        <f t="shared" si="8"/>
        <v>0.17896665708536938</v>
      </c>
      <c r="H103" s="187"/>
      <c r="I103" s="188">
        <f t="shared" si="9"/>
        <v>19.733137270644598</v>
      </c>
      <c r="M103" s="190">
        <f t="shared" si="13"/>
        <v>42.378883333607682</v>
      </c>
      <c r="N103" s="190"/>
      <c r="O103" s="191">
        <f t="shared" si="11"/>
        <v>158.89313727064459</v>
      </c>
      <c r="P103" s="190">
        <f t="shared" si="12"/>
        <v>341.2388833336077</v>
      </c>
    </row>
    <row r="104" spans="1:16" s="189" customFormat="1" ht="12" customHeight="1">
      <c r="A104" s="181" t="s">
        <v>464</v>
      </c>
      <c r="B104" s="181" t="s">
        <v>465</v>
      </c>
      <c r="C104" s="185">
        <v>176.15</v>
      </c>
      <c r="D104" s="186">
        <v>176.15</v>
      </c>
      <c r="F104" s="187">
        <f t="shared" si="7"/>
        <v>1</v>
      </c>
      <c r="G104" s="187">
        <f t="shared" si="8"/>
        <v>8.3333333333333329E-2</v>
      </c>
      <c r="H104" s="187"/>
      <c r="I104" s="188">
        <f t="shared" si="9"/>
        <v>24.978385529060407</v>
      </c>
      <c r="M104" s="190">
        <f t="shared" si="13"/>
        <v>24.978385529060404</v>
      </c>
      <c r="N104" s="190"/>
      <c r="O104" s="191">
        <f t="shared" si="11"/>
        <v>201.12838552906041</v>
      </c>
      <c r="P104" s="190">
        <f t="shared" si="12"/>
        <v>201.12838552906041</v>
      </c>
    </row>
    <row r="105" spans="1:16" s="189" customFormat="1" ht="12" customHeight="1">
      <c r="A105" s="181" t="s">
        <v>119</v>
      </c>
      <c r="B105" s="181" t="s">
        <v>120</v>
      </c>
      <c r="C105" s="185">
        <v>11.64</v>
      </c>
      <c r="D105" s="186">
        <v>197.88</v>
      </c>
      <c r="F105" s="187">
        <f t="shared" si="7"/>
        <v>17</v>
      </c>
      <c r="G105" s="187">
        <f t="shared" si="8"/>
        <v>1.4166666666666667</v>
      </c>
      <c r="H105" s="187"/>
      <c r="I105" s="188">
        <f t="shared" si="9"/>
        <v>1.6505728501746417</v>
      </c>
      <c r="M105" s="190">
        <f t="shared" si="13"/>
        <v>28.059738452968912</v>
      </c>
      <c r="N105" s="190"/>
      <c r="O105" s="191">
        <f t="shared" si="11"/>
        <v>13.290572850174643</v>
      </c>
      <c r="P105" s="190">
        <f t="shared" si="12"/>
        <v>225.9397384529689</v>
      </c>
    </row>
    <row r="106" spans="1:16" s="189" customFormat="1" ht="12" customHeight="1">
      <c r="A106" s="181" t="s">
        <v>466</v>
      </c>
      <c r="B106" s="181" t="s">
        <v>467</v>
      </c>
      <c r="C106" s="185">
        <v>18.95</v>
      </c>
      <c r="D106" s="186">
        <v>88.22999999999999</v>
      </c>
      <c r="F106" s="187">
        <f t="shared" si="7"/>
        <v>4.6559366754617413</v>
      </c>
      <c r="G106" s="187">
        <f t="shared" si="8"/>
        <v>0.38799472295514509</v>
      </c>
      <c r="H106" s="187"/>
      <c r="I106" s="188">
        <f t="shared" si="9"/>
        <v>2.6871439442276168</v>
      </c>
      <c r="M106" s="190">
        <f t="shared" si="13"/>
        <v>12.51117204217428</v>
      </c>
      <c r="N106" s="190"/>
      <c r="O106" s="191">
        <f t="shared" si="11"/>
        <v>21.637143944227617</v>
      </c>
      <c r="P106" s="190">
        <f t="shared" si="12"/>
        <v>100.74117204217427</v>
      </c>
    </row>
    <row r="107" spans="1:16" s="189" customFormat="1" ht="12" customHeight="1">
      <c r="A107" s="181" t="s">
        <v>147</v>
      </c>
      <c r="B107" s="181" t="s">
        <v>148</v>
      </c>
      <c r="C107" s="185">
        <v>20.78</v>
      </c>
      <c r="D107" s="186">
        <v>8070.18</v>
      </c>
      <c r="F107" s="187">
        <f t="shared" si="7"/>
        <v>388.36284889316647</v>
      </c>
      <c r="G107" s="187">
        <f t="shared" si="8"/>
        <v>32.363570741097206</v>
      </c>
      <c r="H107" s="187"/>
      <c r="I107" s="188">
        <f t="shared" si="9"/>
        <v>2.9466412222189908</v>
      </c>
      <c r="M107" s="190">
        <f t="shared" si="13"/>
        <v>1144.3659797270093</v>
      </c>
      <c r="N107" s="190"/>
      <c r="O107" s="191">
        <f t="shared" si="11"/>
        <v>23.726641222218991</v>
      </c>
      <c r="P107" s="190">
        <f t="shared" si="12"/>
        <v>9214.5459797270087</v>
      </c>
    </row>
    <row r="108" spans="1:16" s="189" customFormat="1" ht="12" customHeight="1">
      <c r="A108" s="181" t="s">
        <v>468</v>
      </c>
      <c r="B108" s="181" t="s">
        <v>469</v>
      </c>
      <c r="C108" s="185">
        <v>15.56</v>
      </c>
      <c r="D108" s="186">
        <v>15.56</v>
      </c>
      <c r="F108" s="187">
        <f t="shared" si="7"/>
        <v>1</v>
      </c>
      <c r="G108" s="187">
        <f t="shared" si="8"/>
        <v>8.3333333333333329E-2</v>
      </c>
      <c r="H108" s="187"/>
      <c r="I108" s="188">
        <f t="shared" si="9"/>
        <v>2.2064358718829404</v>
      </c>
      <c r="M108" s="190">
        <f t="shared" si="13"/>
        <v>2.20643587188294</v>
      </c>
      <c r="N108" s="190"/>
      <c r="O108" s="191">
        <f t="shared" si="11"/>
        <v>17.76643587188294</v>
      </c>
      <c r="P108" s="190">
        <f t="shared" si="12"/>
        <v>17.76643587188294</v>
      </c>
    </row>
    <row r="109" spans="1:16" s="189" customFormat="1" ht="12" customHeight="1">
      <c r="A109" s="181" t="s">
        <v>153</v>
      </c>
      <c r="B109" s="181" t="s">
        <v>154</v>
      </c>
      <c r="C109" s="185">
        <v>10.66</v>
      </c>
      <c r="D109" s="186">
        <v>32438.83</v>
      </c>
      <c r="F109" s="187">
        <f t="shared" si="7"/>
        <v>3043.0422138836775</v>
      </c>
      <c r="G109" s="187">
        <f t="shared" si="8"/>
        <v>253.58685115697313</v>
      </c>
      <c r="H109" s="187"/>
      <c r="I109" s="188">
        <f t="shared" si="9"/>
        <v>1.511607094747567</v>
      </c>
      <c r="M109" s="190">
        <f t="shared" si="13"/>
        <v>4599.8842001229104</v>
      </c>
      <c r="N109" s="190"/>
      <c r="O109" s="191">
        <f t="shared" si="11"/>
        <v>12.171607094747568</v>
      </c>
      <c r="P109" s="190">
        <f t="shared" si="12"/>
        <v>37038.714200122915</v>
      </c>
    </row>
    <row r="110" spans="1:16" s="233" customFormat="1" ht="12" customHeight="1">
      <c r="A110" s="181" t="s">
        <v>155</v>
      </c>
      <c r="B110" s="181" t="s">
        <v>156</v>
      </c>
      <c r="C110" s="185">
        <v>23.51</v>
      </c>
      <c r="D110" s="186">
        <v>82.29</v>
      </c>
      <c r="F110" s="187">
        <f t="shared" si="7"/>
        <v>3.5002126754572522</v>
      </c>
      <c r="G110" s="187">
        <f t="shared" si="8"/>
        <v>0.29168438962143767</v>
      </c>
      <c r="H110" s="187"/>
      <c r="I110" s="188">
        <f t="shared" si="9"/>
        <v>3.3337601123372704</v>
      </c>
      <c r="J110" s="189"/>
      <c r="K110" s="189"/>
      <c r="L110" s="189"/>
      <c r="M110" s="190">
        <f t="shared" si="13"/>
        <v>11.668869402136707</v>
      </c>
      <c r="N110" s="190"/>
      <c r="O110" s="191">
        <f t="shared" si="11"/>
        <v>26.843760112337272</v>
      </c>
      <c r="P110" s="190">
        <f t="shared" si="12"/>
        <v>93.958869402136713</v>
      </c>
    </row>
    <row r="111" spans="1:16" s="189" customFormat="1" ht="12" customHeight="1">
      <c r="A111" s="181" t="s">
        <v>149</v>
      </c>
      <c r="B111" s="181" t="s">
        <v>150</v>
      </c>
      <c r="C111" s="185">
        <v>12.81</v>
      </c>
      <c r="D111" s="186">
        <v>14565.029999999999</v>
      </c>
      <c r="F111" s="187">
        <f t="shared" si="7"/>
        <v>1137.0046838407493</v>
      </c>
      <c r="G111" s="187">
        <f t="shared" si="8"/>
        <v>94.750390320062436</v>
      </c>
      <c r="H111" s="187"/>
      <c r="I111" s="188">
        <f t="shared" si="9"/>
        <v>1.8164809459396185</v>
      </c>
      <c r="M111" s="190">
        <f t="shared" si="13"/>
        <v>2065.3473436408212</v>
      </c>
      <c r="N111" s="190"/>
      <c r="O111" s="191">
        <f t="shared" si="11"/>
        <v>14.626480945939619</v>
      </c>
      <c r="P111" s="190">
        <f t="shared" si="12"/>
        <v>16630.377343640819</v>
      </c>
    </row>
    <row r="112" spans="1:16" s="189" customFormat="1" ht="12" customHeight="1">
      <c r="A112" s="181" t="s">
        <v>151</v>
      </c>
      <c r="B112" s="181" t="s">
        <v>152</v>
      </c>
      <c r="C112" s="185">
        <v>25.86</v>
      </c>
      <c r="D112" s="186">
        <v>51.72</v>
      </c>
      <c r="F112" s="187">
        <f t="shared" si="7"/>
        <v>2</v>
      </c>
      <c r="G112" s="187">
        <f t="shared" si="8"/>
        <v>0.16666666666666666</v>
      </c>
      <c r="H112" s="187"/>
      <c r="I112" s="188">
        <f t="shared" si="9"/>
        <v>3.6669943217797449</v>
      </c>
      <c r="M112" s="190">
        <f t="shared" si="13"/>
        <v>7.333988643559489</v>
      </c>
      <c r="N112" s="190"/>
      <c r="O112" s="191">
        <f t="shared" si="11"/>
        <v>29.526994321779746</v>
      </c>
      <c r="P112" s="190">
        <f t="shared" si="12"/>
        <v>59.053988643559485</v>
      </c>
    </row>
    <row r="113" spans="1:16" s="233" customFormat="1" ht="12" customHeight="1">
      <c r="A113" s="181" t="s">
        <v>157</v>
      </c>
      <c r="B113" s="181" t="s">
        <v>158</v>
      </c>
      <c r="C113" s="185">
        <v>17.59</v>
      </c>
      <c r="D113" s="186">
        <v>12475.750000000002</v>
      </c>
      <c r="F113" s="187">
        <f t="shared" ref="F113:F129" si="14">IFERROR(D113/C113,0)</f>
        <v>709.25241614553738</v>
      </c>
      <c r="G113" s="187">
        <f t="shared" ref="G113:G129" si="15">F113/12</f>
        <v>59.104368012128113</v>
      </c>
      <c r="H113" s="187"/>
      <c r="I113" s="188">
        <f t="shared" ref="I113:I129" si="16">$I$5*C113</f>
        <v>2.4942935081247377</v>
      </c>
      <c r="J113" s="189"/>
      <c r="K113" s="189"/>
      <c r="L113" s="189"/>
      <c r="M113" s="190">
        <f t="shared" si="13"/>
        <v>1769.0836972135987</v>
      </c>
      <c r="N113" s="190"/>
      <c r="O113" s="191">
        <f t="shared" ref="O113:O129" si="17">+C113+SUM(I113:J113)</f>
        <v>20.084293508124738</v>
      </c>
      <c r="P113" s="190">
        <f t="shared" si="12"/>
        <v>14244.8336972136</v>
      </c>
    </row>
    <row r="114" spans="1:16" s="189" customFormat="1" ht="12" customHeight="1">
      <c r="A114" s="181" t="s">
        <v>159</v>
      </c>
      <c r="B114" s="181" t="s">
        <v>160</v>
      </c>
      <c r="C114" s="185">
        <v>35.26</v>
      </c>
      <c r="D114" s="186">
        <v>644.11</v>
      </c>
      <c r="F114" s="187">
        <f t="shared" si="14"/>
        <v>18.267441860465119</v>
      </c>
      <c r="G114" s="187">
        <f t="shared" si="15"/>
        <v>1.5222868217054266</v>
      </c>
      <c r="H114" s="187"/>
      <c r="I114" s="188">
        <f t="shared" si="16"/>
        <v>4.9999311595496447</v>
      </c>
      <c r="M114" s="190">
        <f t="shared" si="13"/>
        <v>91.335951763401084</v>
      </c>
      <c r="N114" s="190"/>
      <c r="O114" s="191">
        <f t="shared" si="17"/>
        <v>40.259931159549645</v>
      </c>
      <c r="P114" s="190">
        <f t="shared" ref="P114:P129" si="18">D114+M114</f>
        <v>735.44595176340113</v>
      </c>
    </row>
    <row r="115" spans="1:16" s="189" customFormat="1" ht="12" customHeight="1">
      <c r="A115" s="181" t="s">
        <v>161</v>
      </c>
      <c r="B115" s="181" t="s">
        <v>162</v>
      </c>
      <c r="C115" s="185">
        <v>21.71</v>
      </c>
      <c r="D115" s="186">
        <v>9636.7900000000009</v>
      </c>
      <c r="F115" s="187">
        <f t="shared" si="14"/>
        <v>443.8871487793644</v>
      </c>
      <c r="G115" s="187">
        <f t="shared" si="15"/>
        <v>36.990595731613702</v>
      </c>
      <c r="H115" s="187"/>
      <c r="I115" s="188">
        <f t="shared" si="16"/>
        <v>3.0785168880834597</v>
      </c>
      <c r="M115" s="190">
        <f t="shared" si="13"/>
        <v>1366.5140839204887</v>
      </c>
      <c r="N115" s="190"/>
      <c r="O115" s="191">
        <f t="shared" si="17"/>
        <v>24.788516888083461</v>
      </c>
      <c r="P115" s="190">
        <f t="shared" si="18"/>
        <v>11003.30408392049</v>
      </c>
    </row>
    <row r="116" spans="1:16" s="189" customFormat="1" ht="12" customHeight="1">
      <c r="A116" s="181" t="s">
        <v>163</v>
      </c>
      <c r="B116" s="181" t="s">
        <v>164</v>
      </c>
      <c r="C116" s="185">
        <v>42.3</v>
      </c>
      <c r="D116" s="186">
        <v>2093.85</v>
      </c>
      <c r="F116" s="187">
        <f t="shared" si="14"/>
        <v>49.5</v>
      </c>
      <c r="G116" s="187">
        <f t="shared" si="15"/>
        <v>4.125</v>
      </c>
      <c r="H116" s="187"/>
      <c r="I116" s="188">
        <f t="shared" si="16"/>
        <v>5.9982157699645473</v>
      </c>
      <c r="M116" s="190">
        <f t="shared" si="13"/>
        <v>296.9116806132451</v>
      </c>
      <c r="N116" s="190"/>
      <c r="O116" s="191">
        <f t="shared" si="17"/>
        <v>48.298215769964543</v>
      </c>
      <c r="P116" s="190">
        <f t="shared" si="18"/>
        <v>2390.7616806132451</v>
      </c>
    </row>
    <row r="117" spans="1:16" s="189" customFormat="1" ht="12" customHeight="1">
      <c r="A117" s="181" t="s">
        <v>165</v>
      </c>
      <c r="B117" s="181" t="s">
        <v>166</v>
      </c>
      <c r="C117" s="185">
        <v>24.58</v>
      </c>
      <c r="D117" s="186">
        <v>6741.15</v>
      </c>
      <c r="F117" s="187">
        <f t="shared" si="14"/>
        <v>274.25345809601305</v>
      </c>
      <c r="G117" s="187">
        <f t="shared" si="15"/>
        <v>22.85445484133442</v>
      </c>
      <c r="H117" s="187"/>
      <c r="I117" s="188">
        <f t="shared" si="16"/>
        <v>3.4854880289770351</v>
      </c>
      <c r="M117" s="190">
        <f t="shared" si="13"/>
        <v>955.90714509920838</v>
      </c>
      <c r="N117" s="190"/>
      <c r="O117" s="191">
        <f t="shared" si="17"/>
        <v>28.065488028977033</v>
      </c>
      <c r="P117" s="190">
        <f t="shared" si="18"/>
        <v>7697.0571450992084</v>
      </c>
    </row>
    <row r="118" spans="1:16" s="189" customFormat="1" ht="12" customHeight="1">
      <c r="A118" s="181" t="s">
        <v>167</v>
      </c>
      <c r="B118" s="181" t="s">
        <v>168</v>
      </c>
      <c r="C118" s="185">
        <v>47.01</v>
      </c>
      <c r="D118" s="186">
        <v>3868.1099999999997</v>
      </c>
      <c r="F118" s="187">
        <f t="shared" si="14"/>
        <v>82.28270580727505</v>
      </c>
      <c r="G118" s="187">
        <f t="shared" si="15"/>
        <v>6.8568921506062539</v>
      </c>
      <c r="H118" s="187"/>
      <c r="I118" s="188">
        <f t="shared" si="16"/>
        <v>6.6661022067620186</v>
      </c>
      <c r="M118" s="190">
        <f t="shared" si="13"/>
        <v>548.50492676022611</v>
      </c>
      <c r="N118" s="190"/>
      <c r="O118" s="191">
        <f t="shared" si="17"/>
        <v>53.676102206762017</v>
      </c>
      <c r="P118" s="190">
        <f t="shared" si="18"/>
        <v>4416.6149267602259</v>
      </c>
    </row>
    <row r="119" spans="1:16" s="189" customFormat="1" ht="12" customHeight="1">
      <c r="A119" s="181" t="s">
        <v>169</v>
      </c>
      <c r="B119" s="181" t="s">
        <v>170</v>
      </c>
      <c r="C119" s="185">
        <v>32.56</v>
      </c>
      <c r="D119" s="186">
        <v>5421.3500000000013</v>
      </c>
      <c r="F119" s="187">
        <f t="shared" si="14"/>
        <v>166.50337837837841</v>
      </c>
      <c r="G119" s="187">
        <f t="shared" si="15"/>
        <v>13.875281531531535</v>
      </c>
      <c r="H119" s="187"/>
      <c r="I119" s="188">
        <f t="shared" si="16"/>
        <v>4.6170663231689293</v>
      </c>
      <c r="M119" s="190">
        <f t="shared" si="13"/>
        <v>768.75714100466462</v>
      </c>
      <c r="N119" s="190"/>
      <c r="O119" s="191">
        <f t="shared" si="17"/>
        <v>37.17706632316893</v>
      </c>
      <c r="P119" s="190">
        <f t="shared" si="18"/>
        <v>6190.1071410046661</v>
      </c>
    </row>
    <row r="120" spans="1:16" s="189" customFormat="1" ht="12" customHeight="1">
      <c r="A120" s="181" t="s">
        <v>171</v>
      </c>
      <c r="B120" s="181" t="s">
        <v>172</v>
      </c>
      <c r="C120" s="185">
        <v>39.36</v>
      </c>
      <c r="D120" s="186">
        <v>944.64000000000021</v>
      </c>
      <c r="F120" s="187">
        <f t="shared" si="14"/>
        <v>24.000000000000007</v>
      </c>
      <c r="G120" s="187">
        <f t="shared" si="15"/>
        <v>2.0000000000000004</v>
      </c>
      <c r="H120" s="187"/>
      <c r="I120" s="188">
        <f t="shared" si="16"/>
        <v>5.5813185036833239</v>
      </c>
      <c r="M120" s="190">
        <f t="shared" si="13"/>
        <v>133.9516440883998</v>
      </c>
      <c r="N120" s="190"/>
      <c r="O120" s="191">
        <f t="shared" si="17"/>
        <v>44.94131850368332</v>
      </c>
      <c r="P120" s="190">
        <f t="shared" si="18"/>
        <v>1078.5916440884</v>
      </c>
    </row>
    <row r="121" spans="1:16" s="189" customFormat="1" ht="12" customHeight="1">
      <c r="A121" s="181" t="s">
        <v>470</v>
      </c>
      <c r="B121" s="181" t="s">
        <v>471</v>
      </c>
      <c r="C121" s="185">
        <v>25.35</v>
      </c>
      <c r="D121" s="186">
        <v>25.35</v>
      </c>
      <c r="F121" s="187">
        <f t="shared" si="14"/>
        <v>1</v>
      </c>
      <c r="G121" s="187">
        <f t="shared" si="15"/>
        <v>8.3333333333333329E-2</v>
      </c>
      <c r="H121" s="187"/>
      <c r="I121" s="188">
        <f t="shared" si="16"/>
        <v>3.5946754082411654</v>
      </c>
      <c r="M121" s="190">
        <f t="shared" si="13"/>
        <v>3.5946754082411649</v>
      </c>
      <c r="N121" s="190"/>
      <c r="O121" s="191">
        <f t="shared" si="17"/>
        <v>28.944675408241167</v>
      </c>
      <c r="P121" s="190">
        <f t="shared" si="18"/>
        <v>28.944675408241167</v>
      </c>
    </row>
    <row r="122" spans="1:16" s="189" customFormat="1" ht="12" customHeight="1">
      <c r="A122" s="181" t="s">
        <v>472</v>
      </c>
      <c r="B122" s="181" t="s">
        <v>473</v>
      </c>
      <c r="C122" s="185">
        <v>3.64</v>
      </c>
      <c r="D122" s="186">
        <v>88.27000000000001</v>
      </c>
      <c r="F122" s="187">
        <f t="shared" si="14"/>
        <v>24.250000000000004</v>
      </c>
      <c r="G122" s="187">
        <f t="shared" si="15"/>
        <v>2.0208333333333335</v>
      </c>
      <c r="H122" s="187"/>
      <c r="I122" s="188">
        <f t="shared" si="16"/>
        <v>0.5161585201577058</v>
      </c>
      <c r="M122" s="190">
        <f t="shared" si="13"/>
        <v>12.516844113824366</v>
      </c>
      <c r="N122" s="190"/>
      <c r="O122" s="191">
        <f t="shared" si="17"/>
        <v>4.1561585201577058</v>
      </c>
      <c r="P122" s="190">
        <f t="shared" si="18"/>
        <v>100.78684411382437</v>
      </c>
    </row>
    <row r="123" spans="1:16" s="189" customFormat="1" ht="12" customHeight="1">
      <c r="A123" s="181" t="s">
        <v>173</v>
      </c>
      <c r="B123" s="181" t="s">
        <v>174</v>
      </c>
      <c r="C123" s="185">
        <v>54.65</v>
      </c>
      <c r="D123" s="186">
        <v>5199.1499999999996</v>
      </c>
      <c r="F123" s="187">
        <f t="shared" si="14"/>
        <v>95.135407136322044</v>
      </c>
      <c r="G123" s="187">
        <f t="shared" si="15"/>
        <v>7.9279505946935034</v>
      </c>
      <c r="H123" s="187"/>
      <c r="I123" s="188">
        <f t="shared" si="16"/>
        <v>7.7494678919281927</v>
      </c>
      <c r="M123" s="190">
        <f t="shared" si="13"/>
        <v>737.24878298844396</v>
      </c>
      <c r="N123" s="190"/>
      <c r="O123" s="191">
        <f t="shared" si="17"/>
        <v>62.39946789192819</v>
      </c>
      <c r="P123" s="190">
        <f t="shared" si="18"/>
        <v>5936.3987829884436</v>
      </c>
    </row>
    <row r="124" spans="1:16" s="189" customFormat="1" ht="12" customHeight="1">
      <c r="A124" s="181" t="s">
        <v>175</v>
      </c>
      <c r="B124" s="181" t="s">
        <v>176</v>
      </c>
      <c r="C124" s="185">
        <v>56.46</v>
      </c>
      <c r="D124" s="186">
        <v>56.46</v>
      </c>
      <c r="F124" s="187">
        <f t="shared" si="14"/>
        <v>1</v>
      </c>
      <c r="G124" s="187">
        <f t="shared" si="15"/>
        <v>8.3333333333333329E-2</v>
      </c>
      <c r="H124" s="187"/>
      <c r="I124" s="188">
        <f t="shared" si="16"/>
        <v>8.0061291340945253</v>
      </c>
      <c r="M124" s="190">
        <f t="shared" si="13"/>
        <v>8.0061291340945253</v>
      </c>
      <c r="N124" s="190"/>
      <c r="O124" s="191">
        <f t="shared" si="17"/>
        <v>64.46612913409453</v>
      </c>
      <c r="P124" s="190">
        <f t="shared" si="18"/>
        <v>64.46612913409453</v>
      </c>
    </row>
    <row r="125" spans="1:16" s="189" customFormat="1" ht="12" customHeight="1">
      <c r="A125" s="181" t="s">
        <v>354</v>
      </c>
      <c r="B125" s="181" t="s">
        <v>355</v>
      </c>
      <c r="C125" s="185">
        <v>6.97</v>
      </c>
      <c r="D125" s="186">
        <v>501.84</v>
      </c>
      <c r="F125" s="187">
        <f t="shared" si="14"/>
        <v>72</v>
      </c>
      <c r="G125" s="187">
        <f t="shared" si="15"/>
        <v>6</v>
      </c>
      <c r="H125" s="187"/>
      <c r="I125" s="188">
        <f t="shared" si="16"/>
        <v>0.98835848502725532</v>
      </c>
      <c r="M125" s="190">
        <f t="shared" si="13"/>
        <v>71.16181092196237</v>
      </c>
      <c r="N125" s="190"/>
      <c r="O125" s="191">
        <f t="shared" si="17"/>
        <v>7.9583584850272553</v>
      </c>
      <c r="P125" s="190">
        <f t="shared" si="18"/>
        <v>573.00181092196237</v>
      </c>
    </row>
    <row r="126" spans="1:16" s="189" customFormat="1" ht="12" customHeight="1">
      <c r="A126" s="181" t="s">
        <v>177</v>
      </c>
      <c r="B126" s="181" t="s">
        <v>178</v>
      </c>
      <c r="C126" s="185">
        <v>13.83</v>
      </c>
      <c r="D126" s="186">
        <v>179.79000000000002</v>
      </c>
      <c r="F126" s="187">
        <f t="shared" si="14"/>
        <v>13.000000000000002</v>
      </c>
      <c r="G126" s="187">
        <f t="shared" si="15"/>
        <v>1.0833333333333335</v>
      </c>
      <c r="H126" s="187"/>
      <c r="I126" s="188">
        <f t="shared" si="16"/>
        <v>1.9611187730167778</v>
      </c>
      <c r="M126" s="190">
        <f t="shared" si="13"/>
        <v>25.494544049218117</v>
      </c>
      <c r="N126" s="190"/>
      <c r="O126" s="191">
        <f t="shared" si="17"/>
        <v>15.791118773016779</v>
      </c>
      <c r="P126" s="190">
        <f t="shared" si="18"/>
        <v>205.28454404921814</v>
      </c>
    </row>
    <row r="127" spans="1:16" s="189" customFormat="1" ht="12" customHeight="1">
      <c r="A127" s="181" t="s">
        <v>179</v>
      </c>
      <c r="B127" s="181" t="s">
        <v>180</v>
      </c>
      <c r="C127" s="185">
        <v>5.89</v>
      </c>
      <c r="D127" s="186">
        <v>212.04000000000008</v>
      </c>
      <c r="F127" s="187">
        <f t="shared" si="14"/>
        <v>36.000000000000014</v>
      </c>
      <c r="G127" s="187">
        <f t="shared" si="15"/>
        <v>3.0000000000000013</v>
      </c>
      <c r="H127" s="187"/>
      <c r="I127" s="188">
        <f t="shared" si="16"/>
        <v>0.8352125504749689</v>
      </c>
      <c r="M127" s="190">
        <f t="shared" si="13"/>
        <v>30.067651817098895</v>
      </c>
      <c r="N127" s="190"/>
      <c r="O127" s="191">
        <f t="shared" si="17"/>
        <v>6.7252125504749687</v>
      </c>
      <c r="P127" s="190">
        <f t="shared" si="18"/>
        <v>242.10765181709897</v>
      </c>
    </row>
    <row r="128" spans="1:16" s="189" customFormat="1" ht="12" customHeight="1">
      <c r="A128" s="181" t="s">
        <v>181</v>
      </c>
      <c r="B128" s="181" t="s">
        <v>182</v>
      </c>
      <c r="C128" s="185">
        <v>40.33</v>
      </c>
      <c r="D128" s="186">
        <v>80.66</v>
      </c>
      <c r="F128" s="187">
        <f t="shared" si="14"/>
        <v>2</v>
      </c>
      <c r="G128" s="187">
        <f t="shared" si="15"/>
        <v>0.16666666666666666</v>
      </c>
      <c r="H128" s="187"/>
      <c r="I128" s="188">
        <f t="shared" si="16"/>
        <v>5.718866241197877</v>
      </c>
      <c r="M128" s="190">
        <f t="shared" si="13"/>
        <v>11.437732482395752</v>
      </c>
      <c r="N128" s="190"/>
      <c r="O128" s="191">
        <f t="shared" si="17"/>
        <v>46.048866241197878</v>
      </c>
      <c r="P128" s="190">
        <f t="shared" si="18"/>
        <v>92.097732482395742</v>
      </c>
    </row>
    <row r="129" spans="1:19" s="189" customFormat="1" ht="12" customHeight="1">
      <c r="A129" s="181" t="s">
        <v>183</v>
      </c>
      <c r="B129" s="181" t="s">
        <v>184</v>
      </c>
      <c r="C129" s="185">
        <v>10.78</v>
      </c>
      <c r="D129" s="186">
        <v>388.07999999999987</v>
      </c>
      <c r="F129" s="187">
        <f t="shared" si="14"/>
        <v>35.999999999999993</v>
      </c>
      <c r="G129" s="187">
        <f t="shared" si="15"/>
        <v>2.9999999999999996</v>
      </c>
      <c r="H129" s="187"/>
      <c r="I129" s="188">
        <f t="shared" si="16"/>
        <v>1.528623309697821</v>
      </c>
      <c r="M129" s="190">
        <f t="shared" si="13"/>
        <v>55.030439149121548</v>
      </c>
      <c r="N129" s="190"/>
      <c r="O129" s="191">
        <f t="shared" si="17"/>
        <v>12.30862330969782</v>
      </c>
      <c r="P129" s="190">
        <f t="shared" si="18"/>
        <v>443.11043914912142</v>
      </c>
    </row>
    <row r="130" spans="1:19" s="189" customFormat="1" ht="6.75" customHeight="1" thickBot="1">
      <c r="A130" s="234"/>
      <c r="B130" s="234"/>
      <c r="C130" s="185"/>
      <c r="D130" s="187"/>
      <c r="F130" s="187"/>
      <c r="G130" s="187"/>
      <c r="H130" s="187"/>
      <c r="I130" s="181"/>
      <c r="J130" s="181"/>
      <c r="K130" s="181"/>
      <c r="L130" s="181"/>
      <c r="M130" s="183"/>
      <c r="N130" s="183"/>
      <c r="O130" s="184"/>
      <c r="P130" s="183"/>
    </row>
    <row r="131" spans="1:19" s="189" customFormat="1" ht="12" customHeight="1" thickBot="1">
      <c r="A131" s="234"/>
      <c r="B131" s="235" t="s">
        <v>185</v>
      </c>
      <c r="C131" s="185"/>
      <c r="D131" s="194">
        <f>SUM(D49:D130)</f>
        <v>1039943.5900000001</v>
      </c>
      <c r="F131" s="226"/>
      <c r="G131" s="227">
        <f>SUM(G49:G94)</f>
        <v>762.62845719017207</v>
      </c>
      <c r="H131" s="187"/>
      <c r="I131" s="197"/>
      <c r="J131" s="181"/>
      <c r="K131" s="181"/>
      <c r="L131" s="181"/>
      <c r="M131" s="198">
        <f>SUM(M49:M129)</f>
        <v>147465.86386315705</v>
      </c>
      <c r="N131" s="183"/>
      <c r="O131" s="199"/>
      <c r="P131" s="198">
        <f>SUM(P49:P129)</f>
        <v>1187409.4538631581</v>
      </c>
    </row>
    <row r="132" spans="1:19" s="189" customFormat="1" ht="6.75" customHeight="1">
      <c r="A132" s="234"/>
      <c r="B132" s="234"/>
      <c r="C132" s="185"/>
      <c r="D132" s="187"/>
      <c r="F132" s="187"/>
      <c r="G132" s="187"/>
      <c r="H132" s="187"/>
      <c r="I132" s="197"/>
      <c r="J132" s="181"/>
      <c r="K132" s="181"/>
      <c r="L132" s="181"/>
      <c r="M132" s="183"/>
      <c r="N132" s="183"/>
      <c r="O132" s="184"/>
      <c r="P132" s="183"/>
    </row>
    <row r="133" spans="1:19" ht="12" customHeight="1">
      <c r="A133" s="180" t="s">
        <v>356</v>
      </c>
      <c r="B133" s="180" t="s">
        <v>474</v>
      </c>
      <c r="F133" s="182"/>
      <c r="G133" s="182"/>
      <c r="H133" s="182"/>
    </row>
    <row r="134" spans="1:19" ht="12" customHeight="1">
      <c r="A134" s="181" t="s">
        <v>357</v>
      </c>
      <c r="B134" s="181" t="s">
        <v>358</v>
      </c>
      <c r="C134" s="185">
        <v>20</v>
      </c>
      <c r="D134" s="186">
        <v>7280</v>
      </c>
      <c r="F134" s="187">
        <f>D134/C134</f>
        <v>364</v>
      </c>
      <c r="G134" s="187">
        <f>F134/12</f>
        <v>30.333333333333332</v>
      </c>
      <c r="H134" s="182"/>
      <c r="I134" s="188"/>
      <c r="J134" s="188"/>
      <c r="K134" s="188"/>
      <c r="L134" s="189"/>
      <c r="M134" s="190">
        <f>G134*SUM(I134:J134)*12</f>
        <v>0</v>
      </c>
      <c r="N134" s="190"/>
      <c r="O134" s="191"/>
      <c r="P134" s="190"/>
    </row>
    <row r="135" spans="1:19" ht="12" customHeight="1" thickBot="1">
      <c r="A135" s="192"/>
      <c r="B135" s="192"/>
      <c r="F135" s="182"/>
      <c r="G135" s="182"/>
      <c r="H135" s="182"/>
    </row>
    <row r="136" spans="1:19" ht="12" customHeight="1" thickBot="1">
      <c r="A136" s="192"/>
      <c r="B136" s="193" t="s">
        <v>359</v>
      </c>
      <c r="D136" s="194">
        <f>SUM(D134:D135)</f>
        <v>7280</v>
      </c>
      <c r="F136" s="195"/>
      <c r="G136" s="196">
        <f>SUM(G134)</f>
        <v>30.333333333333332</v>
      </c>
      <c r="H136" s="182"/>
      <c r="I136" s="197"/>
      <c r="M136" s="198">
        <f>SUM(M134)</f>
        <v>0</v>
      </c>
      <c r="O136" s="199"/>
      <c r="P136" s="198">
        <f>SUM(P134)</f>
        <v>0</v>
      </c>
    </row>
    <row r="137" spans="1:19" ht="6.75" customHeight="1">
      <c r="A137" s="192"/>
      <c r="B137" s="193"/>
      <c r="D137" s="236"/>
      <c r="F137" s="182"/>
      <c r="G137" s="182"/>
      <c r="H137" s="182"/>
    </row>
    <row r="138" spans="1:19" ht="12" customHeight="1">
      <c r="A138" s="180" t="s">
        <v>360</v>
      </c>
      <c r="B138" s="180" t="s">
        <v>360</v>
      </c>
      <c r="D138" s="236"/>
      <c r="F138" s="182"/>
      <c r="G138" s="182"/>
      <c r="H138" s="182"/>
    </row>
    <row r="139" spans="1:19" s="189" customFormat="1" ht="12" customHeight="1">
      <c r="A139" s="181" t="s">
        <v>361</v>
      </c>
      <c r="B139" s="181" t="s">
        <v>362</v>
      </c>
      <c r="C139" s="185">
        <v>33.630000000000003</v>
      </c>
      <c r="D139" s="186">
        <v>5808.2699999999995</v>
      </c>
      <c r="F139" s="187">
        <f>D139/C139</f>
        <v>172.71097234611952</v>
      </c>
      <c r="G139" s="187">
        <f>F139/12</f>
        <v>14.392581028843294</v>
      </c>
      <c r="I139" s="188"/>
      <c r="K139" s="188">
        <f>C139*$K$5</f>
        <v>24.534737143993446</v>
      </c>
      <c r="M139" s="190">
        <f>G139*SUM(K139)*12</f>
        <v>4237.4183083955631</v>
      </c>
      <c r="N139" s="190"/>
      <c r="O139" s="191">
        <f>+C139+SUM(K139)</f>
        <v>58.164737143993449</v>
      </c>
      <c r="P139" s="190">
        <f t="shared" ref="P139:P141" si="19">D139+M139</f>
        <v>10045.688308395562</v>
      </c>
      <c r="S139" s="237"/>
    </row>
    <row r="140" spans="1:19" s="189" customFormat="1" ht="12" customHeight="1">
      <c r="A140" s="181" t="s">
        <v>475</v>
      </c>
      <c r="B140" s="181" t="s">
        <v>476</v>
      </c>
      <c r="C140" s="185">
        <v>21.52</v>
      </c>
      <c r="D140" s="186">
        <v>1592.48</v>
      </c>
      <c r="F140" s="187">
        <f>D140/C140</f>
        <v>74</v>
      </c>
      <c r="G140" s="187">
        <f>F140/12</f>
        <v>6.166666666666667</v>
      </c>
      <c r="I140" s="188"/>
      <c r="K140" s="188">
        <f>C140*$K$5</f>
        <v>15.69989721494912</v>
      </c>
      <c r="M140" s="190">
        <f>G140*SUM(K140)*12</f>
        <v>1161.7923939062348</v>
      </c>
      <c r="N140" s="190"/>
      <c r="O140" s="191">
        <f>+C140+SUM(K140)</f>
        <v>37.219897214949121</v>
      </c>
      <c r="P140" s="190">
        <f t="shared" si="19"/>
        <v>2754.2723939062348</v>
      </c>
      <c r="S140" s="237"/>
    </row>
    <row r="141" spans="1:19" s="189" customFormat="1" ht="12" customHeight="1">
      <c r="A141" s="181" t="s">
        <v>477</v>
      </c>
      <c r="B141" s="181" t="s">
        <v>478</v>
      </c>
      <c r="C141" s="185">
        <v>26.963000000000001</v>
      </c>
      <c r="D141" s="186">
        <v>6659.12</v>
      </c>
      <c r="F141" s="187">
        <f>D141/C141</f>
        <v>246.972517894893</v>
      </c>
      <c r="G141" s="187">
        <f>F141/12</f>
        <v>20.58104315790775</v>
      </c>
      <c r="I141" s="188"/>
      <c r="K141" s="188">
        <f>C141*$K$5</f>
        <v>19.670833113692989</v>
      </c>
      <c r="M141" s="190">
        <f>G141*SUM(K141)*12</f>
        <v>4858.1551831789957</v>
      </c>
      <c r="N141" s="190"/>
      <c r="O141" s="191">
        <f>+C141+SUM(K141)</f>
        <v>46.633833113692987</v>
      </c>
      <c r="P141" s="190">
        <f t="shared" si="19"/>
        <v>11517.275183178996</v>
      </c>
      <c r="S141" s="237"/>
    </row>
    <row r="142" spans="1:19" ht="12" customHeight="1" thickBot="1">
      <c r="A142" s="192"/>
      <c r="B142" s="193"/>
    </row>
    <row r="143" spans="1:19" ht="12" customHeight="1" thickBot="1">
      <c r="A143" s="192"/>
      <c r="B143" s="193" t="s">
        <v>363</v>
      </c>
      <c r="D143" s="194">
        <f>SUM(D138:D142)</f>
        <v>14059.869999999999</v>
      </c>
      <c r="F143" s="238"/>
      <c r="G143" s="239">
        <f>SUM(G139:G141)</f>
        <v>41.14029085341771</v>
      </c>
      <c r="M143" s="198">
        <f>SUM(M139:M141)</f>
        <v>10257.365885480795</v>
      </c>
      <c r="O143" s="199"/>
      <c r="P143" s="198">
        <f>SUM(P139:P141)</f>
        <v>24317.23588548079</v>
      </c>
    </row>
    <row r="144" spans="1:19" ht="6.75" customHeight="1">
      <c r="A144" s="189"/>
      <c r="B144" s="189"/>
    </row>
    <row r="145" spans="1:16" ht="12" customHeight="1">
      <c r="A145" s="222" t="s">
        <v>364</v>
      </c>
      <c r="B145" s="222" t="s">
        <v>364</v>
      </c>
    </row>
    <row r="146" spans="1:16" ht="6.75" customHeight="1">
      <c r="A146" s="230"/>
      <c r="B146" s="230"/>
    </row>
    <row r="147" spans="1:16" ht="12" customHeight="1">
      <c r="A147" s="240" t="s">
        <v>365</v>
      </c>
      <c r="B147" s="240" t="s">
        <v>365</v>
      </c>
    </row>
    <row r="148" spans="1:16" ht="12" customHeight="1">
      <c r="A148" s="181" t="s">
        <v>366</v>
      </c>
      <c r="B148" s="181" t="s">
        <v>367</v>
      </c>
      <c r="C148" s="185">
        <v>241.93</v>
      </c>
      <c r="D148" s="186">
        <v>7628.3900000000012</v>
      </c>
      <c r="F148" s="187">
        <f>D148/C148</f>
        <v>31.531393378249913</v>
      </c>
      <c r="G148" s="187">
        <f>F148/12</f>
        <v>2.6276161148541592</v>
      </c>
      <c r="H148" s="189"/>
      <c r="I148" s="188">
        <f t="shared" ref="I148:I155" si="20">$I$5*C148</f>
        <v>34.306107357624661</v>
      </c>
      <c r="J148" s="189"/>
      <c r="K148" s="189"/>
      <c r="L148" s="189"/>
      <c r="M148" s="190">
        <f t="shared" ref="M148:M155" si="21">G148*SUM(I148:J148)*12</f>
        <v>1081.7193663697367</v>
      </c>
      <c r="N148" s="190"/>
      <c r="O148" s="191">
        <f t="shared" ref="O148:O155" si="22">+C148+SUM(I148:J148)</f>
        <v>276.23610735762469</v>
      </c>
      <c r="P148" s="190">
        <f t="shared" ref="P148:P155" si="23">D148+M148</f>
        <v>8710.1093663697375</v>
      </c>
    </row>
    <row r="149" spans="1:16" ht="12" customHeight="1">
      <c r="A149" s="181" t="s">
        <v>368</v>
      </c>
      <c r="B149" s="181" t="s">
        <v>369</v>
      </c>
      <c r="C149" s="185">
        <v>223.49</v>
      </c>
      <c r="D149" s="186">
        <v>16091.28</v>
      </c>
      <c r="F149" s="187">
        <f t="shared" ref="F149:F155" si="24">D149/C149</f>
        <v>72</v>
      </c>
      <c r="G149" s="187">
        <f t="shared" ref="G149:G155" si="25">F149/12</f>
        <v>6</v>
      </c>
      <c r="H149" s="189"/>
      <c r="I149" s="188">
        <f t="shared" si="20"/>
        <v>31.691282326935625</v>
      </c>
      <c r="J149" s="189"/>
      <c r="K149" s="189"/>
      <c r="L149" s="189"/>
      <c r="M149" s="190">
        <f t="shared" si="21"/>
        <v>2281.7723275393651</v>
      </c>
      <c r="N149" s="190"/>
      <c r="O149" s="191">
        <f t="shared" si="22"/>
        <v>255.18128232693564</v>
      </c>
      <c r="P149" s="190">
        <f t="shared" si="23"/>
        <v>18373.052327539364</v>
      </c>
    </row>
    <row r="150" spans="1:16" ht="12" customHeight="1">
      <c r="A150" s="181" t="s">
        <v>370</v>
      </c>
      <c r="B150" s="181" t="s">
        <v>371</v>
      </c>
      <c r="C150" s="185">
        <v>346.56</v>
      </c>
      <c r="D150" s="186">
        <v>3171.8399999999997</v>
      </c>
      <c r="F150" s="187">
        <f t="shared" si="24"/>
        <v>9.1523545706371188</v>
      </c>
      <c r="G150" s="187">
        <f t="shared" si="25"/>
        <v>0.76269621421975986</v>
      </c>
      <c r="H150" s="189"/>
      <c r="I150" s="188">
        <f t="shared" si="20"/>
        <v>49.142828776333658</v>
      </c>
      <c r="J150" s="189"/>
      <c r="K150" s="189"/>
      <c r="L150" s="189"/>
      <c r="M150" s="190">
        <f t="shared" si="21"/>
        <v>449.77259356511468</v>
      </c>
      <c r="N150" s="190"/>
      <c r="O150" s="191">
        <f t="shared" si="22"/>
        <v>395.70282877633366</v>
      </c>
      <c r="P150" s="190">
        <f t="shared" si="23"/>
        <v>3621.6125935651144</v>
      </c>
    </row>
    <row r="151" spans="1:16" ht="12" customHeight="1">
      <c r="A151" s="181" t="s">
        <v>372</v>
      </c>
      <c r="B151" s="181" t="s">
        <v>373</v>
      </c>
      <c r="C151" s="185">
        <v>330.7</v>
      </c>
      <c r="D151" s="186">
        <v>24471.800000000003</v>
      </c>
      <c r="F151" s="187">
        <f t="shared" si="24"/>
        <v>74.000000000000014</v>
      </c>
      <c r="G151" s="187">
        <f t="shared" si="25"/>
        <v>6.1666666666666679</v>
      </c>
      <c r="H151" s="189"/>
      <c r="I151" s="188">
        <f t="shared" si="20"/>
        <v>46.893852367075084</v>
      </c>
      <c r="J151" s="189"/>
      <c r="K151" s="189"/>
      <c r="L151" s="189"/>
      <c r="M151" s="190">
        <f t="shared" si="21"/>
        <v>3470.1450751635566</v>
      </c>
      <c r="N151" s="190"/>
      <c r="O151" s="191">
        <f t="shared" si="22"/>
        <v>377.5938523670751</v>
      </c>
      <c r="P151" s="190">
        <f t="shared" si="23"/>
        <v>27941.94507516356</v>
      </c>
    </row>
    <row r="152" spans="1:16" ht="12" customHeight="1">
      <c r="A152" s="181" t="s">
        <v>374</v>
      </c>
      <c r="B152" s="181" t="s">
        <v>375</v>
      </c>
      <c r="C152" s="185">
        <v>101.52</v>
      </c>
      <c r="D152" s="186">
        <v>5320.44</v>
      </c>
      <c r="F152" s="187">
        <f t="shared" si="24"/>
        <v>52.407801418439718</v>
      </c>
      <c r="G152" s="187">
        <f t="shared" si="25"/>
        <v>4.3673167848699768</v>
      </c>
      <c r="H152" s="189"/>
      <c r="I152" s="188">
        <f t="shared" si="20"/>
        <v>14.395717847914915</v>
      </c>
      <c r="J152" s="189"/>
      <c r="K152" s="189"/>
      <c r="L152" s="189"/>
      <c r="M152" s="190">
        <f t="shared" si="21"/>
        <v>754.4479222494133</v>
      </c>
      <c r="N152" s="190"/>
      <c r="O152" s="191">
        <f t="shared" si="22"/>
        <v>115.91571784791491</v>
      </c>
      <c r="P152" s="190">
        <f t="shared" si="23"/>
        <v>6074.8879222494124</v>
      </c>
    </row>
    <row r="153" spans="1:16" ht="12" customHeight="1">
      <c r="A153" s="181" t="s">
        <v>376</v>
      </c>
      <c r="B153" s="181" t="s">
        <v>377</v>
      </c>
      <c r="C153" s="185">
        <v>126.82</v>
      </c>
      <c r="D153" s="186">
        <v>7435.5899999999992</v>
      </c>
      <c r="F153" s="187">
        <f t="shared" si="24"/>
        <v>58.63105188456079</v>
      </c>
      <c r="G153" s="187">
        <f t="shared" si="25"/>
        <v>4.8859209903800656</v>
      </c>
      <c r="H153" s="189"/>
      <c r="I153" s="188">
        <f t="shared" si="20"/>
        <v>17.983303166593473</v>
      </c>
      <c r="J153" s="189"/>
      <c r="K153" s="189"/>
      <c r="L153" s="189"/>
      <c r="M153" s="190">
        <f t="shared" si="21"/>
        <v>1054.3799810163282</v>
      </c>
      <c r="N153" s="190"/>
      <c r="O153" s="191">
        <f t="shared" si="22"/>
        <v>144.80330316659348</v>
      </c>
      <c r="P153" s="190">
        <f t="shared" si="23"/>
        <v>8489.9699810163274</v>
      </c>
    </row>
    <row r="154" spans="1:16" ht="12" customHeight="1">
      <c r="A154" s="181" t="s">
        <v>378</v>
      </c>
      <c r="B154" s="181" t="s">
        <v>379</v>
      </c>
      <c r="C154" s="185">
        <v>74.37</v>
      </c>
      <c r="D154" s="186">
        <v>6172.68</v>
      </c>
      <c r="F154" s="187">
        <f t="shared" si="24"/>
        <v>82.999596611536916</v>
      </c>
      <c r="G154" s="187">
        <f t="shared" si="25"/>
        <v>6.9166330509614093</v>
      </c>
      <c r="H154" s="189"/>
      <c r="I154" s="188">
        <f t="shared" si="20"/>
        <v>10.54579921541994</v>
      </c>
      <c r="J154" s="189"/>
      <c r="K154" s="189"/>
      <c r="L154" s="189"/>
      <c r="M154" s="190">
        <f t="shared" si="21"/>
        <v>875.29708082611751</v>
      </c>
      <c r="N154" s="190"/>
      <c r="O154" s="191">
        <f t="shared" si="22"/>
        <v>84.915799215419952</v>
      </c>
      <c r="P154" s="190">
        <f t="shared" si="23"/>
        <v>7047.9770808261183</v>
      </c>
    </row>
    <row r="155" spans="1:16" ht="12" customHeight="1">
      <c r="A155" s="181" t="s">
        <v>380</v>
      </c>
      <c r="B155" s="181" t="s">
        <v>381</v>
      </c>
      <c r="C155" s="185">
        <v>5.54</v>
      </c>
      <c r="D155" s="186">
        <v>22641.980000000003</v>
      </c>
      <c r="F155" s="187">
        <f t="shared" si="24"/>
        <v>4087.0000000000005</v>
      </c>
      <c r="G155" s="187">
        <f t="shared" si="25"/>
        <v>340.58333333333337</v>
      </c>
      <c r="H155" s="189"/>
      <c r="I155" s="188">
        <f t="shared" si="20"/>
        <v>0.78558192353672807</v>
      </c>
      <c r="J155" s="189"/>
      <c r="K155" s="189"/>
      <c r="L155" s="189"/>
      <c r="M155" s="190">
        <f t="shared" si="21"/>
        <v>3210.673321494608</v>
      </c>
      <c r="N155" s="190"/>
      <c r="O155" s="191">
        <f t="shared" si="22"/>
        <v>6.3255819235367277</v>
      </c>
      <c r="P155" s="190">
        <f t="shared" si="23"/>
        <v>25852.65332149461</v>
      </c>
    </row>
    <row r="156" spans="1:16" ht="6.75" customHeight="1">
      <c r="C156" s="185"/>
      <c r="D156" s="186"/>
      <c r="F156" s="187"/>
    </row>
    <row r="157" spans="1:16" s="189" customFormat="1" ht="6.75" customHeight="1" thickBot="1">
      <c r="A157" s="181"/>
      <c r="B157" s="181"/>
      <c r="C157" s="185"/>
      <c r="D157" s="187"/>
      <c r="I157" s="181"/>
      <c r="J157" s="181"/>
      <c r="K157" s="181"/>
      <c r="L157" s="181"/>
      <c r="M157" s="183"/>
      <c r="N157" s="183"/>
      <c r="O157" s="184"/>
      <c r="P157" s="183"/>
    </row>
    <row r="158" spans="1:16" s="189" customFormat="1" ht="12" customHeight="1" thickBot="1">
      <c r="A158" s="181"/>
      <c r="B158" s="193" t="s">
        <v>382</v>
      </c>
      <c r="C158" s="185"/>
      <c r="D158" s="194">
        <f>SUM(D148:D157)</f>
        <v>92934</v>
      </c>
      <c r="F158" s="238"/>
      <c r="G158" s="239">
        <f>SUM(G148:G151)</f>
        <v>15.556978995740588</v>
      </c>
      <c r="I158" s="181"/>
      <c r="J158" s="181"/>
      <c r="K158" s="181"/>
      <c r="L158" s="181"/>
      <c r="M158" s="198">
        <f>SUM(M148:M155)</f>
        <v>13178.20766822424</v>
      </c>
      <c r="N158" s="183"/>
      <c r="O158" s="199"/>
      <c r="P158" s="198">
        <f>SUM(P148:P155)</f>
        <v>106112.20766822425</v>
      </c>
    </row>
    <row r="159" spans="1:16" ht="6.75" customHeight="1">
      <c r="A159" s="192"/>
      <c r="B159" s="192"/>
    </row>
    <row r="160" spans="1:16" ht="12" customHeight="1">
      <c r="A160" s="240" t="s">
        <v>383</v>
      </c>
      <c r="B160" s="240" t="s">
        <v>383</v>
      </c>
    </row>
    <row r="161" spans="1:16" ht="12" customHeight="1">
      <c r="A161" s="181" t="s">
        <v>384</v>
      </c>
      <c r="B161" s="181" t="s">
        <v>385</v>
      </c>
      <c r="C161" s="185">
        <v>106</v>
      </c>
      <c r="D161" s="186">
        <v>69478.92</v>
      </c>
      <c r="F161" s="187">
        <f>D161/C161</f>
        <v>655.46150943396219</v>
      </c>
      <c r="G161" s="187">
        <f>F161/12</f>
        <v>54.621792452830185</v>
      </c>
      <c r="I161" s="188"/>
      <c r="J161" s="189"/>
      <c r="K161" s="189"/>
      <c r="L161" s="189"/>
      <c r="M161" s="190">
        <f>G161*SUM(I161:J161)*12</f>
        <v>0</v>
      </c>
      <c r="N161" s="190"/>
      <c r="O161" s="191">
        <f>+C161+SUM(I161:J161)</f>
        <v>106</v>
      </c>
      <c r="P161" s="190">
        <f t="shared" ref="P161" si="26">D161+M161</f>
        <v>69478.92</v>
      </c>
    </row>
    <row r="162" spans="1:16" ht="6.75" customHeight="1"/>
    <row r="163" spans="1:16" ht="12" customHeight="1">
      <c r="A163" s="192"/>
      <c r="B163" s="193" t="s">
        <v>386</v>
      </c>
      <c r="D163" s="194">
        <f>SUM(D161:D162)</f>
        <v>69478.92</v>
      </c>
      <c r="M163" s="198">
        <f>SUM(M161)</f>
        <v>0</v>
      </c>
      <c r="O163" s="199"/>
      <c r="P163" s="198">
        <f>SUM(P161)</f>
        <v>69478.92</v>
      </c>
    </row>
    <row r="164" spans="1:16" ht="6.75" customHeight="1">
      <c r="A164" s="192"/>
      <c r="B164" s="193"/>
      <c r="D164" s="236"/>
    </row>
    <row r="165" spans="1:16" s="189" customFormat="1" ht="12" customHeight="1">
      <c r="A165" s="230" t="s">
        <v>387</v>
      </c>
      <c r="B165" s="230" t="s">
        <v>387</v>
      </c>
      <c r="C165" s="185"/>
      <c r="F165" s="187"/>
      <c r="I165" s="181"/>
      <c r="J165" s="181"/>
      <c r="K165" s="181"/>
      <c r="L165" s="181"/>
      <c r="M165" s="241" t="s">
        <v>479</v>
      </c>
      <c r="N165" s="183"/>
      <c r="O165" s="184"/>
      <c r="P165" s="183"/>
    </row>
    <row r="166" spans="1:16" s="189" customFormat="1" ht="12" customHeight="1">
      <c r="A166" s="181" t="s">
        <v>388</v>
      </c>
      <c r="B166" s="181" t="s">
        <v>389</v>
      </c>
      <c r="C166" s="185">
        <v>1</v>
      </c>
      <c r="D166" s="186">
        <v>3441.6700000000005</v>
      </c>
      <c r="F166" s="187"/>
      <c r="J166" s="183"/>
      <c r="K166" s="183"/>
      <c r="L166" s="242" t="s">
        <v>480</v>
      </c>
      <c r="M166" s="243">
        <v>83352.586916825763</v>
      </c>
      <c r="O166" s="244" t="s">
        <v>481</v>
      </c>
      <c r="P166" s="183">
        <v>206881.77713080705</v>
      </c>
    </row>
    <row r="167" spans="1:16" s="189" customFormat="1" ht="12" customHeight="1">
      <c r="A167" s="181" t="s">
        <v>390</v>
      </c>
      <c r="B167" s="181" t="s">
        <v>391</v>
      </c>
      <c r="C167" s="185">
        <v>19.010000000000002</v>
      </c>
      <c r="D167" s="186">
        <v>190.10000000000002</v>
      </c>
      <c r="F167" s="187"/>
      <c r="I167" s="181"/>
      <c r="L167" s="245" t="s">
        <v>482</v>
      </c>
      <c r="M167" s="246">
        <f>SUM(M38+M131+M158)</f>
        <v>311833.49941391125</v>
      </c>
      <c r="N167" s="183"/>
      <c r="O167" s="247" t="s">
        <v>483</v>
      </c>
      <c r="P167" s="183">
        <v>170051.98410623468</v>
      </c>
    </row>
    <row r="168" spans="1:16" s="189" customFormat="1" ht="12" customHeight="1">
      <c r="A168" s="181" t="s">
        <v>392</v>
      </c>
      <c r="B168" s="181" t="s">
        <v>393</v>
      </c>
      <c r="C168" s="185">
        <v>0</v>
      </c>
      <c r="D168" s="186">
        <v>-76.989999999999995</v>
      </c>
      <c r="F168" s="187"/>
      <c r="I168" s="181"/>
      <c r="J168" s="181"/>
      <c r="K168" s="181"/>
      <c r="L168" s="181"/>
      <c r="M168" s="248">
        <f>SUM(M166:M167)</f>
        <v>395186.08633073699</v>
      </c>
      <c r="N168" s="183"/>
      <c r="O168" s="247" t="s">
        <v>484</v>
      </c>
      <c r="P168" s="249">
        <v>18252.32509369529</v>
      </c>
    </row>
    <row r="169" spans="1:16" s="189" customFormat="1" ht="9.75" customHeight="1">
      <c r="A169" s="225"/>
      <c r="B169" s="225"/>
      <c r="C169" s="185"/>
      <c r="F169" s="187"/>
      <c r="I169" s="181"/>
      <c r="J169" s="250" t="s">
        <v>485</v>
      </c>
      <c r="K169" s="250" t="s">
        <v>485</v>
      </c>
      <c r="L169" s="251"/>
      <c r="M169" s="252">
        <v>395447.05513210944</v>
      </c>
      <c r="N169" s="183"/>
      <c r="O169" s="184"/>
      <c r="P169" s="183">
        <f>SUM(P166:P168)</f>
        <v>395186.08633073705</v>
      </c>
    </row>
    <row r="170" spans="1:16" s="189" customFormat="1" ht="12" customHeight="1">
      <c r="A170" s="192"/>
      <c r="B170" s="193" t="s">
        <v>394</v>
      </c>
      <c r="C170" s="185"/>
      <c r="D170" s="194">
        <f>SUM(D166:D168)</f>
        <v>3554.7800000000007</v>
      </c>
      <c r="F170" s="187"/>
      <c r="I170" s="181"/>
      <c r="J170" s="181"/>
      <c r="K170" s="181"/>
      <c r="L170" s="181"/>
      <c r="M170" s="253">
        <f>M168-M169</f>
        <v>-260.96880137245171</v>
      </c>
      <c r="N170" s="183"/>
      <c r="O170" s="184"/>
      <c r="P170" s="183"/>
    </row>
    <row r="171" spans="1:16" ht="6.75" customHeight="1">
      <c r="A171" s="192"/>
      <c r="B171" s="193"/>
    </row>
    <row r="172" spans="1:16" ht="12" customHeight="1">
      <c r="A172" s="254"/>
      <c r="B172" s="235" t="s">
        <v>395</v>
      </c>
      <c r="D172" s="194">
        <f>SUM(D38,D43,D131,D136,D158,D163,D170,D143)</f>
        <v>2298269.0449999999</v>
      </c>
    </row>
    <row r="173" spans="1:16" ht="6.75" customHeight="1">
      <c r="A173" s="254"/>
      <c r="B173" s="254"/>
    </row>
    <row r="174" spans="1:16" ht="7.5" customHeight="1">
      <c r="C174" s="255"/>
      <c r="D174" s="256"/>
    </row>
    <row r="175" spans="1:16">
      <c r="C175" s="255"/>
      <c r="D175" s="257"/>
      <c r="F175" s="258"/>
      <c r="G175" s="258"/>
      <c r="H175" s="258"/>
    </row>
  </sheetData>
  <mergeCells count="2">
    <mergeCell ref="M4:M5"/>
    <mergeCell ref="O4:P4"/>
  </mergeCells>
  <pageMargins left="0.7" right="0.7" top="0.75" bottom="0.75" header="0.3" footer="0.3"/>
  <pageSetup scale="66" orientation="landscape" r:id="rId1"/>
  <rowBreaks count="2" manualBreakCount="2">
    <brk id="45" max="15" man="1"/>
    <brk id="109" max="1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ECD406112B34BB2F347FB0C2BABE0" ma:contentTypeVersion="76" ma:contentTypeDescription="" ma:contentTypeScope="" ma:versionID="2633c35c480da9c5200ca1fdc56c29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2018-11-13T08:00:00+00:00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EMPIRE DISPOSAL INC</CaseCompanyNames>
    <Nickname xmlns="http://schemas.microsoft.com/sharepoint/v3" xsi:nil="true"/>
    <DocketNumber xmlns="dc463f71-b30c-4ab2-9473-d307f9d35888">180930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D3B4A2-BA6C-41EE-945A-D909A71406DB}"/>
</file>

<file path=customXml/itemProps2.xml><?xml version="1.0" encoding="utf-8"?>
<ds:datastoreItem xmlns:ds="http://schemas.openxmlformats.org/officeDocument/2006/customXml" ds:itemID="{7F1F1D35-1186-42D9-B450-4B21D879F0E9}"/>
</file>

<file path=customXml/itemProps3.xml><?xml version="1.0" encoding="utf-8"?>
<ds:datastoreItem xmlns:ds="http://schemas.openxmlformats.org/officeDocument/2006/customXml" ds:itemID="{E100366E-94AA-4ED4-A61C-B3B202902781}"/>
</file>

<file path=customXml/itemProps4.xml><?xml version="1.0" encoding="utf-8"?>
<ds:datastoreItem xmlns:ds="http://schemas.openxmlformats.org/officeDocument/2006/customXml" ds:itemID="{DCC12DBE-D7BE-4916-AACE-FEC8B4C943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References</vt:lpstr>
      <vt:lpstr>Whitman DF Calc</vt:lpstr>
      <vt:lpstr>Proposed Rates</vt:lpstr>
      <vt:lpstr>Disposal Schedule</vt:lpstr>
      <vt:lpstr>Whitman Reg - Price Out</vt:lpstr>
      <vt:lpstr>'Disposal Schedule'!Print_Area</vt:lpstr>
      <vt:lpstr>'Proposed Rates'!Print_Area</vt:lpstr>
      <vt:lpstr>'Whitman DF Calc'!Print_Area</vt:lpstr>
      <vt:lpstr>'Whitman Reg - Price Out'!Print_Area</vt:lpstr>
      <vt:lpstr>'Proposed Rates'!Print_Titles</vt:lpstr>
      <vt:lpstr>'Whitman DF Calc'!Print_Titles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Chelsea Paschke</cp:lastModifiedBy>
  <cp:lastPrinted>2018-11-11T21:43:04Z</cp:lastPrinted>
  <dcterms:created xsi:type="dcterms:W3CDTF">2014-11-03T21:22:13Z</dcterms:created>
  <dcterms:modified xsi:type="dcterms:W3CDTF">2018-11-11T21:43:45Z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0x0101006E56B4D1795A2E4DB2F0B01679ED314A004D1ECD406112B34BB2F347FB0C2BABE0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