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KC Disposal Fee Increase\2019\"/>
    </mc:Choice>
  </mc:AlternateContent>
  <xr:revisionPtr revIDLastSave="0" documentId="10_ncr:100000_{4A77A605-C025-487E-8C98-8F68FCE89419}" xr6:coauthVersionLast="31" xr6:coauthVersionMax="31" xr10:uidLastSave="{00000000-0000-0000-0000-000000000000}"/>
  <bookViews>
    <workbookView xWindow="0" yWindow="0" windowWidth="25200" windowHeight="11760" activeTab="2" xr2:uid="{00000000-000D-0000-FFFF-FFFF00000000}"/>
  </bookViews>
  <sheets>
    <sheet name="Revenue &amp; Expense Adj." sheetId="3" r:id="rId1"/>
    <sheet name="References" sheetId="5" r:id="rId2"/>
    <sheet name="Priceout" sheetId="6" r:id="rId3"/>
  </sheets>
  <definedNames>
    <definedName name="_xlnm.Print_Area" localSheetId="2">Priceout!$A$1:$R$72</definedName>
    <definedName name="_xlnm.Print_Area" localSheetId="0">'Revenue &amp; Expense Adj.'!$A$1:$K$34</definedName>
  </definedNames>
  <calcPr calcId="179017" iterate="1"/>
</workbook>
</file>

<file path=xl/calcChain.xml><?xml version="1.0" encoding="utf-8"?>
<calcChain xmlns="http://schemas.openxmlformats.org/spreadsheetml/2006/main">
  <c r="T3" i="6" l="1"/>
  <c r="T4" i="6"/>
  <c r="T5" i="6"/>
  <c r="T6" i="6"/>
  <c r="T7" i="6"/>
  <c r="T8" i="6"/>
  <c r="T9" i="6"/>
  <c r="T10" i="6"/>
  <c r="T11" i="6"/>
  <c r="T12" i="6"/>
  <c r="T13" i="6"/>
  <c r="T14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2" i="6"/>
  <c r="G12" i="3" l="1"/>
  <c r="O2" i="6" l="1"/>
  <c r="G31" i="6" l="1"/>
  <c r="G30" i="6"/>
  <c r="G29" i="6"/>
  <c r="G28" i="6"/>
  <c r="G27" i="6"/>
  <c r="G25" i="6"/>
  <c r="G17" i="6"/>
  <c r="G58" i="6"/>
  <c r="G57" i="6"/>
  <c r="G62" i="6"/>
  <c r="G63" i="6"/>
  <c r="G56" i="6"/>
  <c r="G61" i="6"/>
  <c r="H61" i="6" s="1"/>
  <c r="G44" i="6" l="1"/>
  <c r="H44" i="6" s="1"/>
  <c r="G43" i="6"/>
  <c r="H43" i="6" s="1"/>
  <c r="G42" i="6"/>
  <c r="H42" i="6" s="1"/>
  <c r="H63" i="6"/>
  <c r="H62" i="6"/>
  <c r="H56" i="6"/>
  <c r="G71" i="6"/>
  <c r="H71" i="6" s="1"/>
  <c r="G70" i="6"/>
  <c r="H70" i="6" s="1"/>
  <c r="G55" i="6"/>
  <c r="H55" i="6" s="1"/>
  <c r="G69" i="6"/>
  <c r="H69" i="6" s="1"/>
  <c r="G68" i="6"/>
  <c r="H68" i="6" s="1"/>
  <c r="G67" i="6"/>
  <c r="H67" i="6" s="1"/>
  <c r="G66" i="6"/>
  <c r="H66" i="6" s="1"/>
  <c r="G54" i="6"/>
  <c r="H54" i="6" s="1"/>
  <c r="H57" i="6"/>
  <c r="G48" i="6"/>
  <c r="H48" i="6" s="1"/>
  <c r="G49" i="6"/>
  <c r="H49" i="6" s="1"/>
  <c r="G50" i="6"/>
  <c r="H50" i="6" s="1"/>
  <c r="G51" i="6"/>
  <c r="G52" i="6"/>
  <c r="G53" i="6"/>
  <c r="H53" i="6" s="1"/>
  <c r="G47" i="6"/>
  <c r="G60" i="6"/>
  <c r="G59" i="6"/>
  <c r="G46" i="6"/>
  <c r="G45" i="6"/>
  <c r="G38" i="6"/>
  <c r="H51" i="6" l="1"/>
  <c r="H52" i="6"/>
  <c r="H45" i="6"/>
  <c r="H46" i="6"/>
  <c r="H58" i="6"/>
  <c r="H59" i="6"/>
  <c r="H60" i="6"/>
  <c r="H47" i="6"/>
  <c r="G65" i="6"/>
  <c r="H65" i="6" s="1"/>
  <c r="G64" i="6"/>
  <c r="H64" i="6" s="1"/>
  <c r="G32" i="6" l="1"/>
  <c r="G26" i="6"/>
  <c r="G24" i="6"/>
  <c r="G23" i="6"/>
  <c r="G22" i="6"/>
  <c r="G21" i="6"/>
  <c r="G20" i="6"/>
  <c r="G19" i="6"/>
  <c r="G18" i="6"/>
  <c r="G16" i="6"/>
  <c r="G14" i="6" l="1"/>
  <c r="G12" i="6"/>
  <c r="G13" i="6"/>
  <c r="G11" i="6"/>
  <c r="G10" i="6"/>
  <c r="G7" i="6"/>
  <c r="G8" i="6"/>
  <c r="G9" i="6"/>
  <c r="G6" i="6"/>
  <c r="G5" i="6"/>
  <c r="G3" i="6"/>
  <c r="G2" i="6"/>
  <c r="O12" i="6"/>
  <c r="O13" i="6"/>
  <c r="O11" i="6" l="1"/>
  <c r="D33" i="6" l="1"/>
  <c r="O10" i="6"/>
  <c r="O8" i="6"/>
  <c r="O3" i="6"/>
  <c r="D15" i="6"/>
  <c r="B49" i="5"/>
  <c r="B52" i="5" s="1"/>
  <c r="C48" i="5"/>
  <c r="G47" i="5"/>
  <c r="C47" i="5"/>
  <c r="B9" i="5"/>
  <c r="E9" i="5" s="1"/>
  <c r="B8" i="5"/>
  <c r="H8" i="5" s="1"/>
  <c r="B7" i="5"/>
  <c r="B6" i="5"/>
  <c r="G6" i="5" s="1"/>
  <c r="B5" i="5"/>
  <c r="F5" i="5" s="1"/>
  <c r="B4" i="5"/>
  <c r="F4" i="5" s="1"/>
  <c r="B3" i="5"/>
  <c r="F3" i="5" s="1"/>
  <c r="H6" i="5" l="1"/>
  <c r="G50" i="5"/>
  <c r="G52" i="5" s="1"/>
  <c r="J12" i="3" s="1"/>
  <c r="E6" i="5"/>
  <c r="C49" i="5"/>
  <c r="C5" i="5"/>
  <c r="H5" i="5"/>
  <c r="F9" i="5"/>
  <c r="E14" i="6"/>
  <c r="F14" i="6" s="1"/>
  <c r="H14" i="6" s="1"/>
  <c r="E3" i="6"/>
  <c r="F3" i="6" s="1"/>
  <c r="E2" i="6"/>
  <c r="F2" i="6" s="1"/>
  <c r="H2" i="6" s="1"/>
  <c r="G9" i="5"/>
  <c r="G5" i="5"/>
  <c r="E3" i="5"/>
  <c r="D5" i="5"/>
  <c r="C7" i="5"/>
  <c r="E38" i="6"/>
  <c r="F38" i="6" s="1"/>
  <c r="H38" i="6" s="1"/>
  <c r="E7" i="6"/>
  <c r="F7" i="6" s="1"/>
  <c r="H7" i="6" s="1"/>
  <c r="E8" i="6"/>
  <c r="F8" i="6" s="1"/>
  <c r="H8" i="6" s="1"/>
  <c r="E9" i="6"/>
  <c r="F9" i="6" s="1"/>
  <c r="E10" i="6"/>
  <c r="F10" i="6" s="1"/>
  <c r="H10" i="6" s="1"/>
  <c r="E4" i="6"/>
  <c r="F4" i="6" s="1"/>
  <c r="H4" i="6" s="1"/>
  <c r="E11" i="6"/>
  <c r="F11" i="6" s="1"/>
  <c r="H11" i="6" s="1"/>
  <c r="E13" i="6"/>
  <c r="F13" i="6" s="1"/>
  <c r="H13" i="6" s="1"/>
  <c r="E5" i="6"/>
  <c r="F5" i="6" s="1"/>
  <c r="H5" i="6" s="1"/>
  <c r="E12" i="6"/>
  <c r="F12" i="6" s="1"/>
  <c r="H12" i="6" s="1"/>
  <c r="E6" i="6"/>
  <c r="F6" i="6" s="1"/>
  <c r="H6" i="6" s="1"/>
  <c r="C9" i="5"/>
  <c r="H9" i="5"/>
  <c r="E5" i="5"/>
  <c r="D6" i="5"/>
  <c r="E7" i="5"/>
  <c r="D9" i="5"/>
  <c r="D34" i="6"/>
  <c r="H3" i="6"/>
  <c r="H9" i="6"/>
  <c r="O4" i="6"/>
  <c r="O9" i="6"/>
  <c r="O14" i="6"/>
  <c r="O6" i="6"/>
  <c r="O7" i="6"/>
  <c r="O5" i="6"/>
  <c r="F8" i="5"/>
  <c r="C4" i="5"/>
  <c r="G4" i="5"/>
  <c r="F7" i="5"/>
  <c r="G8" i="5"/>
  <c r="C3" i="5"/>
  <c r="G3" i="5"/>
  <c r="D4" i="5"/>
  <c r="H4" i="5"/>
  <c r="F6" i="5"/>
  <c r="G7" i="5"/>
  <c r="D8" i="5"/>
  <c r="D3" i="5"/>
  <c r="H3" i="5"/>
  <c r="E4" i="5"/>
  <c r="C6" i="5"/>
  <c r="D7" i="5"/>
  <c r="H7" i="5"/>
  <c r="E8" i="5"/>
  <c r="C8" i="5"/>
  <c r="G28" i="3"/>
  <c r="H28" i="3" s="1"/>
  <c r="H29" i="3" s="1"/>
  <c r="F28" i="3"/>
  <c r="F29" i="3" s="1"/>
  <c r="O17" i="6"/>
  <c r="D13" i="3"/>
  <c r="D20" i="3"/>
  <c r="D22" i="3" s="1"/>
  <c r="D29" i="3"/>
  <c r="F19" i="3"/>
  <c r="F20" i="3" s="1"/>
  <c r="F12" i="3"/>
  <c r="F13" i="3" s="1"/>
  <c r="H12" i="3"/>
  <c r="H13" i="3" s="1"/>
  <c r="B53" i="5" l="1"/>
  <c r="G19" i="3"/>
  <c r="H19" i="3" s="1"/>
  <c r="H20" i="3" s="1"/>
  <c r="B54" i="5"/>
  <c r="C78" i="6" s="1"/>
  <c r="C79" i="6" s="1"/>
  <c r="D32" i="3"/>
  <c r="I28" i="3"/>
  <c r="I12" i="3"/>
  <c r="I13" i="3" s="1"/>
  <c r="F22" i="3"/>
  <c r="F32" i="3" s="1"/>
  <c r="B55" i="5"/>
  <c r="H17" i="6"/>
  <c r="O15" i="6"/>
  <c r="F15" i="6"/>
  <c r="H15" i="6"/>
  <c r="I19" i="3" l="1"/>
  <c r="I20" i="3" s="1"/>
  <c r="I22" i="3" s="1"/>
  <c r="O31" i="6"/>
  <c r="H31" i="6"/>
  <c r="O29" i="6"/>
  <c r="H29" i="6"/>
  <c r="O21" i="6"/>
  <c r="H21" i="6"/>
  <c r="H22" i="3"/>
  <c r="H32" i="3" s="1"/>
  <c r="O30" i="6"/>
  <c r="H30" i="6"/>
  <c r="H18" i="6"/>
  <c r="O28" i="6"/>
  <c r="H28" i="6"/>
  <c r="O24" i="6"/>
  <c r="H24" i="6"/>
  <c r="H25" i="6"/>
  <c r="O25" i="6"/>
  <c r="O16" i="6"/>
  <c r="H16" i="6"/>
  <c r="O26" i="6"/>
  <c r="H26" i="6"/>
  <c r="K28" i="3"/>
  <c r="I29" i="3"/>
  <c r="H27" i="6"/>
  <c r="O27" i="6"/>
  <c r="H32" i="6"/>
  <c r="O32" i="6"/>
  <c r="O20" i="6"/>
  <c r="H20" i="6"/>
  <c r="O22" i="6"/>
  <c r="H22" i="6"/>
  <c r="I32" i="3" l="1"/>
  <c r="O18" i="6"/>
  <c r="K29" i="3"/>
  <c r="O19" i="6"/>
  <c r="H19" i="6"/>
  <c r="F33" i="6"/>
  <c r="F34" i="6" s="1"/>
  <c r="C80" i="6" s="1"/>
  <c r="O23" i="6"/>
  <c r="H23" i="6"/>
  <c r="H33" i="6" l="1"/>
  <c r="H34" i="6" s="1"/>
  <c r="C81" i="6" s="1"/>
  <c r="O33" i="6"/>
  <c r="O34" i="6" s="1"/>
  <c r="I61" i="6" l="1"/>
  <c r="J61" i="6" s="1"/>
  <c r="K61" i="6" s="1"/>
  <c r="L61" i="6" s="1"/>
  <c r="N61" i="6" s="1"/>
  <c r="I44" i="6"/>
  <c r="J44" i="6" s="1"/>
  <c r="K44" i="6" s="1"/>
  <c r="L44" i="6" s="1"/>
  <c r="N44" i="6" s="1"/>
  <c r="I42" i="6"/>
  <c r="I43" i="6"/>
  <c r="J43" i="6" s="1"/>
  <c r="K43" i="6" s="1"/>
  <c r="L43" i="6" s="1"/>
  <c r="N43" i="6" s="1"/>
  <c r="I71" i="6"/>
  <c r="J71" i="6" s="1"/>
  <c r="K71" i="6" s="1"/>
  <c r="L71" i="6" s="1"/>
  <c r="N71" i="6" s="1"/>
  <c r="I62" i="6"/>
  <c r="J62" i="6" s="1"/>
  <c r="K62" i="6" s="1"/>
  <c r="L62" i="6" s="1"/>
  <c r="N62" i="6" s="1"/>
  <c r="I56" i="6"/>
  <c r="J56" i="6" s="1"/>
  <c r="K56" i="6" s="1"/>
  <c r="L56" i="6" s="1"/>
  <c r="N56" i="6" s="1"/>
  <c r="I63" i="6"/>
  <c r="J63" i="6" s="1"/>
  <c r="K63" i="6" s="1"/>
  <c r="L63" i="6" s="1"/>
  <c r="N63" i="6" s="1"/>
  <c r="I70" i="6"/>
  <c r="J70" i="6" s="1"/>
  <c r="K70" i="6" s="1"/>
  <c r="L70" i="6" s="1"/>
  <c r="N70" i="6" s="1"/>
  <c r="I55" i="6"/>
  <c r="J55" i="6" s="1"/>
  <c r="K55" i="6" s="1"/>
  <c r="L55" i="6" s="1"/>
  <c r="N55" i="6" s="1"/>
  <c r="I69" i="6"/>
  <c r="J69" i="6" s="1"/>
  <c r="K69" i="6" s="1"/>
  <c r="L69" i="6" s="1"/>
  <c r="N69" i="6" s="1"/>
  <c r="I66" i="6"/>
  <c r="J66" i="6" s="1"/>
  <c r="K66" i="6" s="1"/>
  <c r="L66" i="6" s="1"/>
  <c r="N66" i="6" s="1"/>
  <c r="I67" i="6"/>
  <c r="J67" i="6" s="1"/>
  <c r="K67" i="6" s="1"/>
  <c r="L67" i="6" s="1"/>
  <c r="N67" i="6" s="1"/>
  <c r="I68" i="6"/>
  <c r="J68" i="6" s="1"/>
  <c r="K68" i="6" s="1"/>
  <c r="L68" i="6" s="1"/>
  <c r="N68" i="6" s="1"/>
  <c r="I57" i="6"/>
  <c r="J57" i="6" s="1"/>
  <c r="K57" i="6" s="1"/>
  <c r="L57" i="6" s="1"/>
  <c r="N57" i="6" s="1"/>
  <c r="I54" i="6"/>
  <c r="J54" i="6" s="1"/>
  <c r="K54" i="6" s="1"/>
  <c r="L54" i="6" s="1"/>
  <c r="N54" i="6" s="1"/>
  <c r="I49" i="6"/>
  <c r="J49" i="6" s="1"/>
  <c r="K49" i="6" s="1"/>
  <c r="L49" i="6" s="1"/>
  <c r="N49" i="6" s="1"/>
  <c r="I51" i="6"/>
  <c r="J51" i="6" s="1"/>
  <c r="K51" i="6" s="1"/>
  <c r="L51" i="6" s="1"/>
  <c r="N51" i="6" s="1"/>
  <c r="I53" i="6"/>
  <c r="J53" i="6" s="1"/>
  <c r="K53" i="6" s="1"/>
  <c r="L53" i="6" s="1"/>
  <c r="N53" i="6" s="1"/>
  <c r="I52" i="6"/>
  <c r="J52" i="6" s="1"/>
  <c r="K52" i="6" s="1"/>
  <c r="L52" i="6" s="1"/>
  <c r="N52" i="6" s="1"/>
  <c r="I50" i="6"/>
  <c r="J50" i="6" s="1"/>
  <c r="K50" i="6" s="1"/>
  <c r="L50" i="6" s="1"/>
  <c r="N50" i="6" s="1"/>
  <c r="I48" i="6"/>
  <c r="J48" i="6" s="1"/>
  <c r="K48" i="6" s="1"/>
  <c r="L48" i="6" s="1"/>
  <c r="N48" i="6" s="1"/>
  <c r="I38" i="6"/>
  <c r="J38" i="6" s="1"/>
  <c r="K38" i="6" s="1"/>
  <c r="L38" i="6" s="1"/>
  <c r="N38" i="6" s="1"/>
  <c r="I29" i="6"/>
  <c r="J29" i="6" s="1"/>
  <c r="K29" i="6" s="1"/>
  <c r="L29" i="6" s="1"/>
  <c r="I47" i="6"/>
  <c r="J47" i="6" s="1"/>
  <c r="K47" i="6" s="1"/>
  <c r="L47" i="6" s="1"/>
  <c r="N47" i="6" s="1"/>
  <c r="I45" i="6"/>
  <c r="J45" i="6" s="1"/>
  <c r="K45" i="6" s="1"/>
  <c r="L45" i="6" s="1"/>
  <c r="N45" i="6" s="1"/>
  <c r="I58" i="6"/>
  <c r="J58" i="6" s="1"/>
  <c r="K58" i="6" s="1"/>
  <c r="L58" i="6" s="1"/>
  <c r="N58" i="6" s="1"/>
  <c r="I60" i="6"/>
  <c r="J60" i="6" s="1"/>
  <c r="K60" i="6" s="1"/>
  <c r="L60" i="6" s="1"/>
  <c r="N60" i="6" s="1"/>
  <c r="I46" i="6"/>
  <c r="J46" i="6" s="1"/>
  <c r="K46" i="6" s="1"/>
  <c r="L46" i="6" s="1"/>
  <c r="N46" i="6" s="1"/>
  <c r="I59" i="6"/>
  <c r="J59" i="6" s="1"/>
  <c r="K59" i="6" s="1"/>
  <c r="L59" i="6" s="1"/>
  <c r="N59" i="6" s="1"/>
  <c r="I25" i="6"/>
  <c r="J25" i="6" s="1"/>
  <c r="K25" i="6" s="1"/>
  <c r="L25" i="6" s="1"/>
  <c r="I27" i="6"/>
  <c r="I22" i="6"/>
  <c r="J22" i="6" s="1"/>
  <c r="K22" i="6" s="1"/>
  <c r="L22" i="6" s="1"/>
  <c r="N22" i="6" s="1"/>
  <c r="I16" i="6"/>
  <c r="J16" i="6" s="1"/>
  <c r="K16" i="6" s="1"/>
  <c r="L16" i="6" s="1"/>
  <c r="I23" i="6"/>
  <c r="J23" i="6" s="1"/>
  <c r="K23" i="6" s="1"/>
  <c r="L23" i="6" s="1"/>
  <c r="N23" i="6" s="1"/>
  <c r="I10" i="6"/>
  <c r="J10" i="6" s="1"/>
  <c r="K10" i="6" s="1"/>
  <c r="L10" i="6" s="1"/>
  <c r="N10" i="6" s="1"/>
  <c r="I65" i="6"/>
  <c r="I6" i="6"/>
  <c r="J6" i="6" s="1"/>
  <c r="K6" i="6" s="1"/>
  <c r="L6" i="6" s="1"/>
  <c r="N6" i="6" s="1"/>
  <c r="I64" i="6"/>
  <c r="I9" i="6"/>
  <c r="J9" i="6" s="1"/>
  <c r="K9" i="6" s="1"/>
  <c r="L9" i="6" s="1"/>
  <c r="N9" i="6" s="1"/>
  <c r="I4" i="6"/>
  <c r="J4" i="6" s="1"/>
  <c r="K4" i="6" s="1"/>
  <c r="L4" i="6" s="1"/>
  <c r="N4" i="6" s="1"/>
  <c r="I26" i="6"/>
  <c r="J26" i="6" s="1"/>
  <c r="K26" i="6" s="1"/>
  <c r="L26" i="6" s="1"/>
  <c r="N26" i="6" s="1"/>
  <c r="I14" i="6"/>
  <c r="J14" i="6" s="1"/>
  <c r="K14" i="6" s="1"/>
  <c r="L14" i="6" s="1"/>
  <c r="N14" i="6" s="1"/>
  <c r="I13" i="6"/>
  <c r="J13" i="6" s="1"/>
  <c r="K13" i="6" s="1"/>
  <c r="L13" i="6" s="1"/>
  <c r="N13" i="6" s="1"/>
  <c r="I30" i="6"/>
  <c r="J30" i="6" s="1"/>
  <c r="K30" i="6" s="1"/>
  <c r="L30" i="6" s="1"/>
  <c r="N30" i="6" s="1"/>
  <c r="I21" i="6"/>
  <c r="J21" i="6" s="1"/>
  <c r="K21" i="6" s="1"/>
  <c r="L21" i="6" s="1"/>
  <c r="N21" i="6" s="1"/>
  <c r="I3" i="6"/>
  <c r="J3" i="6" s="1"/>
  <c r="K3" i="6" s="1"/>
  <c r="L3" i="6" s="1"/>
  <c r="N3" i="6" s="1"/>
  <c r="I18" i="6"/>
  <c r="J18" i="6" s="1"/>
  <c r="K18" i="6" s="1"/>
  <c r="L18" i="6" s="1"/>
  <c r="N18" i="6" s="1"/>
  <c r="I17" i="6"/>
  <c r="J17" i="6" s="1"/>
  <c r="K17" i="6" s="1"/>
  <c r="L17" i="6" s="1"/>
  <c r="N17" i="6" s="1"/>
  <c r="I12" i="6"/>
  <c r="J12" i="6" s="1"/>
  <c r="K12" i="6" s="1"/>
  <c r="L12" i="6" s="1"/>
  <c r="N12" i="6" s="1"/>
  <c r="I20" i="6"/>
  <c r="J20" i="6" s="1"/>
  <c r="K20" i="6" s="1"/>
  <c r="L20" i="6" s="1"/>
  <c r="N20" i="6" s="1"/>
  <c r="I31" i="6"/>
  <c r="J31" i="6" s="1"/>
  <c r="K31" i="6" s="1"/>
  <c r="L31" i="6" s="1"/>
  <c r="N31" i="6" s="1"/>
  <c r="I19" i="6"/>
  <c r="J19" i="6" s="1"/>
  <c r="K19" i="6" s="1"/>
  <c r="L19" i="6" s="1"/>
  <c r="N19" i="6" s="1"/>
  <c r="I7" i="6"/>
  <c r="J7" i="6" s="1"/>
  <c r="K7" i="6" s="1"/>
  <c r="L7" i="6" s="1"/>
  <c r="N7" i="6" s="1"/>
  <c r="I2" i="6"/>
  <c r="I8" i="6"/>
  <c r="J8" i="6" s="1"/>
  <c r="K8" i="6" s="1"/>
  <c r="L8" i="6" s="1"/>
  <c r="N8" i="6" s="1"/>
  <c r="I5" i="6"/>
  <c r="J5" i="6" s="1"/>
  <c r="K5" i="6" s="1"/>
  <c r="L5" i="6" s="1"/>
  <c r="N5" i="6" s="1"/>
  <c r="I11" i="6"/>
  <c r="J11" i="6" s="1"/>
  <c r="K11" i="6" s="1"/>
  <c r="L11" i="6" s="1"/>
  <c r="N11" i="6" s="1"/>
  <c r="I32" i="6"/>
  <c r="J32" i="6" s="1"/>
  <c r="K32" i="6" s="1"/>
  <c r="L32" i="6" s="1"/>
  <c r="N32" i="6" s="1"/>
  <c r="I24" i="6"/>
  <c r="J24" i="6" s="1"/>
  <c r="K24" i="6" s="1"/>
  <c r="L24" i="6" s="1"/>
  <c r="N24" i="6" s="1"/>
  <c r="I28" i="6"/>
  <c r="P20" i="6" l="1"/>
  <c r="Q20" i="6"/>
  <c r="P23" i="6"/>
  <c r="Q23" i="6"/>
  <c r="R23" i="6" s="1"/>
  <c r="P12" i="6"/>
  <c r="Q12" i="6"/>
  <c r="P32" i="6"/>
  <c r="Q32" i="6"/>
  <c r="R32" i="6" s="1"/>
  <c r="P14" i="6"/>
  <c r="Q14" i="6"/>
  <c r="R14" i="6" s="1"/>
  <c r="P7" i="6"/>
  <c r="Q7" i="6"/>
  <c r="R7" i="6" s="1"/>
  <c r="P21" i="6"/>
  <c r="Q21" i="6"/>
  <c r="P6" i="6"/>
  <c r="Q6" i="6"/>
  <c r="R6" i="6" s="1"/>
  <c r="P5" i="6"/>
  <c r="Q5" i="6"/>
  <c r="P19" i="6"/>
  <c r="Q19" i="6"/>
  <c r="R19" i="6" s="1"/>
  <c r="P17" i="6"/>
  <c r="Q17" i="6"/>
  <c r="R17" i="6" s="1"/>
  <c r="P30" i="6"/>
  <c r="Q30" i="6"/>
  <c r="R30" i="6" s="1"/>
  <c r="P4" i="6"/>
  <c r="Q4" i="6"/>
  <c r="P22" i="6"/>
  <c r="Q22" i="6"/>
  <c r="R22" i="6" s="1"/>
  <c r="P3" i="6"/>
  <c r="Q3" i="6"/>
  <c r="P11" i="6"/>
  <c r="Q11" i="6"/>
  <c r="R11" i="6" s="1"/>
  <c r="P26" i="6"/>
  <c r="Q26" i="6"/>
  <c r="P24" i="6"/>
  <c r="Q24" i="6"/>
  <c r="P8" i="6"/>
  <c r="Q8" i="6"/>
  <c r="R8" i="6" s="1"/>
  <c r="P31" i="6"/>
  <c r="Q31" i="6"/>
  <c r="R31" i="6" s="1"/>
  <c r="P18" i="6"/>
  <c r="Q18" i="6"/>
  <c r="R18" i="6" s="1"/>
  <c r="P13" i="6"/>
  <c r="Q13" i="6"/>
  <c r="R13" i="6" s="1"/>
  <c r="P9" i="6"/>
  <c r="Q9" i="6"/>
  <c r="R9" i="6" s="1"/>
  <c r="P10" i="6"/>
  <c r="Q10" i="6"/>
  <c r="R10" i="6" s="1"/>
  <c r="N16" i="6"/>
  <c r="J42" i="6"/>
  <c r="K42" i="6" s="1"/>
  <c r="L42" i="6" s="1"/>
  <c r="N42" i="6" s="1"/>
  <c r="N25" i="6"/>
  <c r="N29" i="6"/>
  <c r="J64" i="6"/>
  <c r="K64" i="6" s="1"/>
  <c r="L64" i="6" s="1"/>
  <c r="N64" i="6" s="1"/>
  <c r="J65" i="6"/>
  <c r="K65" i="6" s="1"/>
  <c r="L65" i="6" s="1"/>
  <c r="N65" i="6" s="1"/>
  <c r="J27" i="6"/>
  <c r="K27" i="6" s="1"/>
  <c r="L27" i="6" s="1"/>
  <c r="N27" i="6" s="1"/>
  <c r="R24" i="6"/>
  <c r="J2" i="6"/>
  <c r="K2" i="6" s="1"/>
  <c r="L2" i="6" s="1"/>
  <c r="N2" i="6" s="1"/>
  <c r="I15" i="6"/>
  <c r="R20" i="6"/>
  <c r="R3" i="6"/>
  <c r="R12" i="6"/>
  <c r="R21" i="6"/>
  <c r="R26" i="6"/>
  <c r="I33" i="6"/>
  <c r="J28" i="6"/>
  <c r="K28" i="6" s="1"/>
  <c r="L28" i="6" s="1"/>
  <c r="N28" i="6" s="1"/>
  <c r="R5" i="6"/>
  <c r="R4" i="6"/>
  <c r="P27" i="6" l="1"/>
  <c r="Q27" i="6"/>
  <c r="R27" i="6" s="1"/>
  <c r="P25" i="6"/>
  <c r="Q25" i="6"/>
  <c r="R25" i="6" s="1"/>
  <c r="P29" i="6"/>
  <c r="Q29" i="6"/>
  <c r="R29" i="6" s="1"/>
  <c r="P2" i="6"/>
  <c r="Q2" i="6"/>
  <c r="P28" i="6"/>
  <c r="Q28" i="6"/>
  <c r="R28" i="6" s="1"/>
  <c r="P16" i="6"/>
  <c r="Q16" i="6"/>
  <c r="R16" i="6" s="1"/>
  <c r="I34" i="6"/>
  <c r="R33" i="6" l="1"/>
  <c r="Q33" i="6"/>
  <c r="Q15" i="6"/>
  <c r="R2" i="6"/>
  <c r="R15" i="6" s="1"/>
  <c r="R34" i="6" l="1"/>
  <c r="Q34" i="6"/>
  <c r="K12" i="3" l="1"/>
  <c r="K13" i="3" s="1"/>
  <c r="J19" i="3"/>
  <c r="K19" i="3" s="1"/>
  <c r="K20" i="3" s="1"/>
  <c r="K22" i="3" s="1"/>
  <c r="K32" i="3" s="1"/>
</calcChain>
</file>

<file path=xl/sharedStrings.xml><?xml version="1.0" encoding="utf-8"?>
<sst xmlns="http://schemas.openxmlformats.org/spreadsheetml/2006/main" count="229" uniqueCount="176">
  <si>
    <t>Waste Management - Seattle/South Sound</t>
  </si>
  <si>
    <t>Pro Forma</t>
  </si>
  <si>
    <t>Proposed</t>
  </si>
  <si>
    <t>Revenue</t>
  </si>
  <si>
    <t>Rate</t>
  </si>
  <si>
    <t>Tons</t>
  </si>
  <si>
    <t>TG-140471</t>
  </si>
  <si>
    <t>Extras</t>
  </si>
  <si>
    <t>Regulated Revenue and Expense Adjustment</t>
  </si>
  <si>
    <t>Regulated</t>
  </si>
  <si>
    <t>Expense</t>
  </si>
  <si>
    <t>Gross up</t>
  </si>
  <si>
    <t>Cost</t>
  </si>
  <si>
    <t>Adj.</t>
  </si>
  <si>
    <t>Factor</t>
  </si>
  <si>
    <t>Commercial</t>
  </si>
  <si>
    <t>King County</t>
  </si>
  <si>
    <t>Residential</t>
  </si>
  <si>
    <t>Roll Off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</si>
  <si>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</si>
  <si>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</si>
  <si>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</si>
  <si>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</si>
  <si>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</si>
  <si>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</si>
  <si>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</si>
  <si>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Increase</t>
  </si>
  <si>
    <t>Bad Debts</t>
  </si>
  <si>
    <t>Transfer Station</t>
  </si>
  <si>
    <t>Increase per ton</t>
  </si>
  <si>
    <t>Grossed Up Increase per ton</t>
  </si>
  <si>
    <t>Total</t>
  </si>
  <si>
    <t>Tons Collected</t>
  </si>
  <si>
    <t>Disposal Fee Revenue Increase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</si>
  <si>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</si>
  <si>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</si>
  <si>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</si>
  <si>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</si>
  <si>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</si>
  <si>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</si>
  <si>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</si>
  <si>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</si>
  <si>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</si>
  <si>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</si>
  <si>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</si>
  <si>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</si>
  <si>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</si>
  <si>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</si>
  <si>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</si>
  <si>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</si>
  <si>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</si>
  <si>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</si>
  <si>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</si>
  <si>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</si>
  <si>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</si>
  <si>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</si>
  <si>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</si>
  <si>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</si>
  <si>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</si>
  <si>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</si>
  <si>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</si>
  <si>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</si>
  <si>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</si>
  <si>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35 gallon Can</t>
  </si>
  <si>
    <t>*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</si>
  <si>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</si>
  <si>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</si>
  <si>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</si>
  <si>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</si>
  <si>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</si>
  <si>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</si>
  <si>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</si>
  <si>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</si>
  <si>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</si>
  <si>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</si>
  <si>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</si>
  <si>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</si>
  <si>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</si>
  <si>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</si>
  <si>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</si>
  <si>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</si>
  <si>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</si>
  <si>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</si>
  <si>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</si>
  <si>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</si>
  <si>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</si>
  <si>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* not on meeks - calculated by staff</t>
  </si>
  <si>
    <t>Tariff Page</t>
  </si>
  <si>
    <t>Line of Service</t>
  </si>
  <si>
    <t>Monthly Customers</t>
  </si>
  <si>
    <t>Monthly Frequency</t>
  </si>
  <si>
    <t>Annual PU's</t>
  </si>
  <si>
    <t>Calculated Annual Pounds</t>
  </si>
  <si>
    <t>Adjusted Annual Pounds</t>
  </si>
  <si>
    <t>Gross Up</t>
  </si>
  <si>
    <t>Tariff Rate Increase</t>
  </si>
  <si>
    <t>Company Current Tariff</t>
  </si>
  <si>
    <t>Company Current Revenue</t>
  </si>
  <si>
    <t>Revised Tariff Rate</t>
  </si>
  <si>
    <t>Revised Revenue</t>
  </si>
  <si>
    <t>Revised Revenue Increase</t>
  </si>
  <si>
    <t>Mini-Can Weekly</t>
  </si>
  <si>
    <t>1 Can Monthly</t>
  </si>
  <si>
    <t>1 Can Weekly</t>
  </si>
  <si>
    <t>2 Can Weekly</t>
  </si>
  <si>
    <t>3 Can Weekly</t>
  </si>
  <si>
    <t>4 Can Weekly</t>
  </si>
  <si>
    <t>20 Gal. Cart Weekly</t>
  </si>
  <si>
    <t>35 Gal. Cart Weekly</t>
  </si>
  <si>
    <t>64 Gal. Cart Weekly</t>
  </si>
  <si>
    <t>96 Gal. Cart Weekly</t>
  </si>
  <si>
    <t>Extra Can/Bag</t>
  </si>
  <si>
    <t>32 Gal Can</t>
  </si>
  <si>
    <t>35 Gal Cart</t>
  </si>
  <si>
    <t>64 Gal Cart</t>
  </si>
  <si>
    <t>96 Gal Cart</t>
  </si>
  <si>
    <t>1 Yd</t>
  </si>
  <si>
    <t>1.5 Yd</t>
  </si>
  <si>
    <t>2 Yd</t>
  </si>
  <si>
    <t>3 Yd</t>
  </si>
  <si>
    <t>4 Yd</t>
  </si>
  <si>
    <t>6 Yd</t>
  </si>
  <si>
    <t>8 Yd</t>
  </si>
  <si>
    <t>3 Yd Compact</t>
  </si>
  <si>
    <t>6 Yd Compact</t>
  </si>
  <si>
    <t>Totals</t>
  </si>
  <si>
    <t>No Current Customers</t>
  </si>
  <si>
    <t>5 Cans Weekly</t>
  </si>
  <si>
    <t>4 Yd Compact</t>
  </si>
  <si>
    <t>Adjustment Factor Calculation</t>
  </si>
  <si>
    <t>Total Tonnage</t>
  </si>
  <si>
    <t>Total Pounds</t>
  </si>
  <si>
    <t>Total Pick Ups</t>
  </si>
  <si>
    <t>Adjustment factor</t>
  </si>
  <si>
    <t>Mini-Can Monthly</t>
  </si>
  <si>
    <t>Micro-Can Weekly</t>
  </si>
  <si>
    <t>20 Gal Can</t>
  </si>
  <si>
    <t>3 Yd Temp</t>
  </si>
  <si>
    <t>4 Yd Temp</t>
  </si>
  <si>
    <t>6 Yd Temp</t>
  </si>
  <si>
    <t>5 Yd Compact</t>
  </si>
  <si>
    <t>8 Yd Temp</t>
  </si>
  <si>
    <t>35 Gal Cart Spec</t>
  </si>
  <si>
    <t>64 Gal Cart Spec</t>
  </si>
  <si>
    <t>96 Gal Cart Spec</t>
  </si>
  <si>
    <t>1 Yd Spec</t>
  </si>
  <si>
    <t>1.5 Yd Spec</t>
  </si>
  <si>
    <t>2 Yd Spec</t>
  </si>
  <si>
    <t>3 Yd Spec</t>
  </si>
  <si>
    <t>4 Yd Spec</t>
  </si>
  <si>
    <t>6 Yd Spec</t>
  </si>
  <si>
    <t>8 Yd Spec</t>
  </si>
  <si>
    <t>20 Gal Can Spec</t>
  </si>
  <si>
    <t>32 Gal Can Spec</t>
  </si>
  <si>
    <t>3 Yd Compact Spec</t>
  </si>
  <si>
    <t>4 Yd Compact Spec</t>
  </si>
  <si>
    <t>5 Yd Compact Spec</t>
  </si>
  <si>
    <t>6 Yd Compact Spec</t>
  </si>
  <si>
    <t>20 Gal Commercial Pickup</t>
  </si>
  <si>
    <t>20 Gal Commercial Minimum Charge</t>
  </si>
  <si>
    <t>20 Gal Commercial Temp</t>
  </si>
  <si>
    <t>32 Gal Commercial Pickup</t>
  </si>
  <si>
    <t>32 Gal Commercial Minimum Charge</t>
  </si>
  <si>
    <t>32 Gal Commercial Temp</t>
  </si>
  <si>
    <t>1 Yd Temp</t>
  </si>
  <si>
    <t>1.5 Yd Temp</t>
  </si>
  <si>
    <t>2 Yd Temp</t>
  </si>
  <si>
    <t>Multi-Family / Commercial</t>
  </si>
  <si>
    <t>25A</t>
  </si>
  <si>
    <t>Loose/Bulky Material Per Yd</t>
  </si>
  <si>
    <t>25 and 35</t>
  </si>
  <si>
    <t>25A and 36</t>
  </si>
  <si>
    <t>25A and 35</t>
  </si>
  <si>
    <t>From TG-140471</t>
  </si>
  <si>
    <t>Company Calculated Rate</t>
  </si>
  <si>
    <t>Seattle/South Sound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</si>
</sst>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_);_(&quot;$&quot;* \(#,##0.000\);_(&quot;$&quot;* &quot;-&quot;??_);_(@_)"/>
    <numFmt numFmtId="167" formatCode="0.0000%"/>
    <numFmt numFmtId="168" formatCode="_(&quot;$&quot;* #,##0.000000_);_(&quot;$&quot;* \(#,##0.000000\);_(&quot;$&quot;* &quot;-&quot;??_);_(@_)"/>
    <numFmt numFmtId="169" formatCode="0.000000"/>
    <numFmt numFmtId="170" formatCode="0.0000"/>
    <numFmt numFmtId="171" formatCode="0.0000000%"/>
    <numFmt numFmtId="172" formatCode="0.00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 val="singleAccounting"/>
      <sz val="10"/>
      <name val="Arial"/>
      <family val="2"/>
    </font>
    <font>
      <b/>
      <u val="double"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indexed="10"/>
      <name val="Helv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theme="3" tint="0.399975585192419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170"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5" fillId="0" borderId="0" xfId="0" applyFont="1" applyAlignment="1">
      <alignment horizontal="left"/>
    </xf>
    <xf numFmtId="0" fontId="3" fillId="0" borderId="0" xfId="0" applyFont="1"/>
    <xf numFmtId="43" fontId="8" fillId="0" borderId="0" xfId="5" applyFont="1" applyBorder="1"/>
    <xf numFmtId="44" fontId="3" fillId="0" borderId="0" xfId="7" applyFont="1" applyBorder="1"/>
    <xf numFmtId="165" fontId="8" fillId="0" borderId="0" xfId="2" applyNumberFormat="1" applyFont="1" applyBorder="1"/>
    <xf numFmtId="165" fontId="9" fillId="0" borderId="0" xfId="0" applyNumberFormat="1" applyFont="1"/>
    <xf numFmtId="165" fontId="9" fillId="0" borderId="0" xfId="2" applyNumberFormat="1" applyFont="1"/>
    <xf numFmtId="43" fontId="7" fillId="0" borderId="0" xfId="0" applyNumberFormat="1" applyFont="1" applyBorder="1"/>
    <xf numFmtId="44" fontId="6" fillId="0" borderId="0" xfId="7" applyFont="1" applyBorder="1"/>
    <xf numFmtId="165" fontId="7" fillId="0" borderId="0" xfId="7" applyNumberFormat="1" applyFont="1" applyBorder="1"/>
    <xf numFmtId="44" fontId="7" fillId="0" borderId="0" xfId="7" applyFont="1" applyBorder="1"/>
    <xf numFmtId="0" fontId="1" fillId="0" borderId="0" xfId="0" applyFont="1" applyBorder="1"/>
    <xf numFmtId="165" fontId="0" fillId="0" borderId="0" xfId="0" applyNumberFormat="1" applyBorder="1"/>
    <xf numFmtId="165" fontId="8" fillId="0" borderId="0" xfId="5" applyNumberFormat="1" applyFont="1" applyBorder="1"/>
    <xf numFmtId="43" fontId="10" fillId="0" borderId="0" xfId="0" applyNumberFormat="1" applyFont="1" applyBorder="1"/>
    <xf numFmtId="165" fontId="10" fillId="0" borderId="0" xfId="2" applyNumberFormat="1" applyFont="1" applyBorder="1"/>
    <xf numFmtId="2" fontId="0" fillId="0" borderId="0" xfId="0" applyNumberFormat="1"/>
    <xf numFmtId="43" fontId="11" fillId="0" borderId="0" xfId="0" applyNumberFormat="1" applyFont="1" applyBorder="1"/>
    <xf numFmtId="44" fontId="11" fillId="0" borderId="0" xfId="7" applyFont="1" applyBorder="1"/>
    <xf numFmtId="165" fontId="11" fillId="0" borderId="0" xfId="0" applyNumberFormat="1" applyFont="1" applyBorder="1"/>
    <xf numFmtId="165" fontId="11" fillId="0" borderId="0" xfId="7" applyNumberFormat="1" applyFont="1" applyBorder="1"/>
    <xf numFmtId="0" fontId="11" fillId="0" borderId="0" xfId="0" applyFont="1"/>
    <xf numFmtId="0" fontId="12" fillId="0" borderId="0" xfId="0" applyFont="1"/>
    <xf numFmtId="43" fontId="12" fillId="0" borderId="0" xfId="0" applyNumberFormat="1" applyFont="1"/>
    <xf numFmtId="165" fontId="12" fillId="0" borderId="0" xfId="2" applyNumberFormat="1" applyFont="1"/>
    <xf numFmtId="0" fontId="0" fillId="0" borderId="0" xfId="0" applyFont="1"/>
    <xf numFmtId="0" fontId="2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44" fontId="1" fillId="0" borderId="0" xfId="2" applyFont="1" applyFill="1"/>
    <xf numFmtId="166" fontId="1" fillId="0" borderId="0" xfId="2" applyNumberFormat="1" applyFont="1" applyFill="1"/>
    <xf numFmtId="167" fontId="1" fillId="0" borderId="0" xfId="3" applyNumberFormat="1" applyFont="1"/>
    <xf numFmtId="166" fontId="1" fillId="0" borderId="1" xfId="2" applyNumberFormat="1" applyFont="1" applyFill="1" applyBorder="1"/>
    <xf numFmtId="167" fontId="1" fillId="0" borderId="0" xfId="3" applyNumberFormat="1" applyFont="1" applyBorder="1"/>
    <xf numFmtId="0" fontId="0" fillId="0" borderId="0" xfId="0" applyFont="1" applyAlignment="1">
      <alignment horizontal="left" indent="1"/>
    </xf>
    <xf numFmtId="168" fontId="1" fillId="0" borderId="0" xfId="2" applyNumberFormat="1" applyFont="1" applyFill="1"/>
    <xf numFmtId="0" fontId="0" fillId="2" borderId="1" xfId="0" applyFont="1" applyFill="1" applyBorder="1"/>
    <xf numFmtId="44" fontId="0" fillId="0" borderId="0" xfId="0" applyNumberFormat="1" applyFont="1"/>
    <xf numFmtId="169" fontId="0" fillId="0" borderId="0" xfId="0" applyNumberFormat="1" applyFont="1"/>
    <xf numFmtId="170" fontId="0" fillId="0" borderId="0" xfId="0" applyNumberFormat="1"/>
    <xf numFmtId="0" fontId="13" fillId="0" borderId="0" xfId="0" applyFont="1"/>
    <xf numFmtId="0" fontId="14" fillId="0" borderId="0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1" fillId="0" borderId="0" xfId="1" applyFont="1"/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43" fontId="1" fillId="0" borderId="0" xfId="1" applyFont="1" applyAlignment="1">
      <alignment horizontal="center"/>
    </xf>
    <xf numFmtId="164" fontId="1" fillId="0" borderId="0" xfId="1" applyNumberFormat="1" applyFont="1"/>
    <xf numFmtId="0" fontId="0" fillId="3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44" fontId="1" fillId="4" borderId="0" xfId="2" applyFont="1" applyFill="1"/>
    <xf numFmtId="44" fontId="1" fillId="4" borderId="1" xfId="2" applyFont="1" applyFill="1" applyBorder="1"/>
    <xf numFmtId="167" fontId="0" fillId="0" borderId="0" xfId="0" applyNumberFormat="1" applyFont="1"/>
    <xf numFmtId="44" fontId="2" fillId="0" borderId="0" xfId="0" applyNumberFormat="1" applyFont="1"/>
    <xf numFmtId="43" fontId="3" fillId="0" borderId="0" xfId="9" applyFont="1" applyFill="1"/>
    <xf numFmtId="44" fontId="3" fillId="0" borderId="0" xfId="7" applyFont="1" applyFill="1"/>
    <xf numFmtId="164" fontId="3" fillId="0" borderId="0" xfId="1" applyNumberFormat="1" applyFont="1" applyFill="1"/>
    <xf numFmtId="164" fontId="3" fillId="0" borderId="0" xfId="1" applyNumberFormat="1" applyFont="1" applyFill="1" applyBorder="1"/>
    <xf numFmtId="43" fontId="3" fillId="0" borderId="0" xfId="9" applyFont="1" applyFill="1" applyBorder="1"/>
    <xf numFmtId="172" fontId="16" fillId="0" borderId="1" xfId="6" applyNumberFormat="1" applyFont="1" applyBorder="1" applyProtection="1"/>
    <xf numFmtId="165" fontId="8" fillId="4" borderId="0" xfId="7" applyNumberFormat="1" applyFont="1" applyFill="1" applyBorder="1"/>
    <xf numFmtId="165" fontId="8" fillId="4" borderId="0" xfId="5" applyNumberFormat="1" applyFont="1" applyFill="1" applyBorder="1"/>
    <xf numFmtId="165" fontId="10" fillId="4" borderId="0" xfId="2" applyNumberFormat="1" applyFont="1" applyFill="1" applyBorder="1"/>
    <xf numFmtId="164" fontId="1" fillId="4" borderId="1" xfId="1" applyNumberFormat="1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164" fontId="17" fillId="2" borderId="1" xfId="1" applyNumberFormat="1" applyFont="1" applyFill="1" applyBorder="1" applyAlignment="1">
      <alignment horizontal="center" wrapText="1"/>
    </xf>
    <xf numFmtId="0" fontId="17" fillId="2" borderId="1" xfId="0" applyFont="1" applyFill="1" applyBorder="1" applyAlignment="1">
      <alignment wrapText="1"/>
    </xf>
    <xf numFmtId="0" fontId="18" fillId="0" borderId="0" xfId="0" applyFont="1"/>
    <xf numFmtId="0" fontId="18" fillId="0" borderId="0" xfId="0" applyFont="1" applyFill="1" applyBorder="1" applyAlignment="1">
      <alignment horizontal="center" vertical="center"/>
    </xf>
    <xf numFmtId="164" fontId="18" fillId="0" borderId="0" xfId="1" applyNumberFormat="1" applyFont="1" applyFill="1" applyBorder="1"/>
    <xf numFmtId="43" fontId="3" fillId="0" borderId="0" xfId="1" applyNumberFormat="1" applyFont="1" applyFill="1" applyBorder="1"/>
    <xf numFmtId="164" fontId="18" fillId="0" borderId="0" xfId="1" applyNumberFormat="1" applyFont="1" applyFill="1" applyBorder="1" applyAlignment="1">
      <alignment horizontal="center" wrapText="1"/>
    </xf>
    <xf numFmtId="44" fontId="18" fillId="0" borderId="0" xfId="2" applyFont="1" applyFill="1" applyBorder="1"/>
    <xf numFmtId="44" fontId="18" fillId="7" borderId="0" xfId="2" applyFont="1" applyFill="1" applyBorder="1"/>
    <xf numFmtId="165" fontId="18" fillId="0" borderId="0" xfId="2" applyNumberFormat="1" applyFont="1" applyFill="1" applyBorder="1"/>
    <xf numFmtId="44" fontId="18" fillId="5" borderId="0" xfId="2" applyFont="1" applyFill="1" applyBorder="1"/>
    <xf numFmtId="0" fontId="18" fillId="0" borderId="0" xfId="0" applyFont="1" applyFill="1" applyBorder="1" applyAlignment="1">
      <alignment horizontal="center" vertical="center" textRotation="90"/>
    </xf>
    <xf numFmtId="0" fontId="18" fillId="2" borderId="1" xfId="0" applyFont="1" applyFill="1" applyBorder="1" applyAlignment="1">
      <alignment vertical="center" textRotation="90"/>
    </xf>
    <xf numFmtId="44" fontId="18" fillId="2" borderId="1" xfId="2" applyFont="1" applyFill="1" applyBorder="1"/>
    <xf numFmtId="0" fontId="6" fillId="2" borderId="1" xfId="10" applyFont="1" applyFill="1" applyBorder="1" applyAlignment="1">
      <alignment horizontal="left"/>
    </xf>
    <xf numFmtId="3" fontId="17" fillId="2" borderId="1" xfId="0" applyNumberFormat="1" applyFont="1" applyFill="1" applyBorder="1" applyAlignment="1">
      <alignment horizontal="right"/>
    </xf>
    <xf numFmtId="43" fontId="18" fillId="2" borderId="1" xfId="1" applyFont="1" applyFill="1" applyBorder="1"/>
    <xf numFmtId="164" fontId="17" fillId="2" borderId="1" xfId="0" applyNumberFormat="1" applyFont="1" applyFill="1" applyBorder="1"/>
    <xf numFmtId="43" fontId="18" fillId="2" borderId="1" xfId="0" applyNumberFormat="1" applyFont="1" applyFill="1" applyBorder="1"/>
    <xf numFmtId="3" fontId="17" fillId="2" borderId="1" xfId="0" applyNumberFormat="1" applyFont="1" applyFill="1" applyBorder="1"/>
    <xf numFmtId="164" fontId="17" fillId="2" borderId="1" xfId="1" applyNumberFormat="1" applyFont="1" applyFill="1" applyBorder="1"/>
    <xf numFmtId="165" fontId="17" fillId="4" borderId="1" xfId="2" applyNumberFormat="1" applyFont="1" applyFill="1" applyBorder="1"/>
    <xf numFmtId="44" fontId="17" fillId="2" borderId="1" xfId="2" applyFont="1" applyFill="1" applyBorder="1"/>
    <xf numFmtId="43" fontId="18" fillId="0" borderId="0" xfId="1" applyNumberFormat="1" applyFont="1" applyFill="1" applyBorder="1"/>
    <xf numFmtId="0" fontId="18" fillId="0" borderId="0" xfId="0" applyFont="1" applyFill="1"/>
    <xf numFmtId="43" fontId="18" fillId="0" borderId="0" xfId="2" applyNumberFormat="1" applyFont="1" applyFill="1" applyBorder="1"/>
    <xf numFmtId="0" fontId="18" fillId="0" borderId="0" xfId="0" applyFont="1" applyBorder="1"/>
    <xf numFmtId="0" fontId="6" fillId="0" borderId="0" xfId="10" applyFont="1" applyFill="1" applyBorder="1" applyAlignment="1">
      <alignment horizontal="left"/>
    </xf>
    <xf numFmtId="164" fontId="17" fillId="0" borderId="0" xfId="1" applyNumberFormat="1" applyFont="1" applyBorder="1" applyAlignment="1">
      <alignment horizontal="right"/>
    </xf>
    <xf numFmtId="44" fontId="17" fillId="0" borderId="0" xfId="2" applyFont="1" applyBorder="1" applyAlignment="1">
      <alignment horizontal="right"/>
    </xf>
    <xf numFmtId="165" fontId="17" fillId="0" borderId="0" xfId="2" applyNumberFormat="1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164" fontId="18" fillId="0" borderId="0" xfId="1" applyNumberFormat="1" applyFont="1" applyBorder="1"/>
    <xf numFmtId="44" fontId="18" fillId="0" borderId="0" xfId="1" applyNumberFormat="1" applyFont="1" applyFill="1" applyBorder="1"/>
    <xf numFmtId="0" fontId="18" fillId="6" borderId="0" xfId="0" applyFont="1" applyFill="1" applyBorder="1"/>
    <xf numFmtId="0" fontId="17" fillId="6" borderId="0" xfId="0" applyFont="1" applyFill="1" applyBorder="1"/>
    <xf numFmtId="0" fontId="18" fillId="6" borderId="0" xfId="0" applyFont="1" applyFill="1" applyBorder="1" applyAlignment="1">
      <alignment horizontal="right"/>
    </xf>
    <xf numFmtId="164" fontId="18" fillId="6" borderId="0" xfId="1" applyNumberFormat="1" applyFont="1" applyFill="1" applyBorder="1"/>
    <xf numFmtId="44" fontId="18" fillId="6" borderId="0" xfId="1" applyNumberFormat="1" applyFont="1" applyFill="1" applyBorder="1"/>
    <xf numFmtId="0" fontId="18" fillId="0" borderId="0" xfId="0" applyFont="1" applyFill="1" applyBorder="1"/>
    <xf numFmtId="164" fontId="18" fillId="0" borderId="0" xfId="1" applyNumberFormat="1" applyFont="1" applyFill="1" applyBorder="1" applyAlignment="1">
      <alignment horizontal="right"/>
    </xf>
    <xf numFmtId="171" fontId="18" fillId="0" borderId="0" xfId="3" applyNumberFormat="1" applyFont="1" applyFill="1" applyBorder="1"/>
    <xf numFmtId="0" fontId="18" fillId="0" borderId="0" xfId="0" applyFont="1" applyFill="1" applyBorder="1" applyAlignment="1">
      <alignment horizontal="center"/>
    </xf>
    <xf numFmtId="44" fontId="18" fillId="0" borderId="0" xfId="0" applyNumberFormat="1" applyFont="1" applyFill="1" applyBorder="1"/>
    <xf numFmtId="164" fontId="18" fillId="0" borderId="0" xfId="0" applyNumberFormat="1" applyFont="1"/>
    <xf numFmtId="0" fontId="18" fillId="0" borderId="4" xfId="0" applyFont="1" applyFill="1" applyBorder="1" applyAlignment="1">
      <alignment horizontal="center"/>
    </xf>
    <xf numFmtId="0" fontId="3" fillId="0" borderId="1" xfId="11" applyFont="1" applyFill="1" applyBorder="1"/>
    <xf numFmtId="164" fontId="18" fillId="0" borderId="1" xfId="1" applyNumberFormat="1" applyFont="1" applyFill="1" applyBorder="1" applyAlignment="1">
      <alignment horizontal="right"/>
    </xf>
    <xf numFmtId="43" fontId="18" fillId="0" borderId="1" xfId="1" applyNumberFormat="1" applyFont="1" applyFill="1" applyBorder="1"/>
    <xf numFmtId="164" fontId="18" fillId="0" borderId="1" xfId="1" applyNumberFormat="1" applyFont="1" applyFill="1" applyBorder="1"/>
    <xf numFmtId="44" fontId="18" fillId="0" borderId="1" xfId="2" applyFont="1" applyFill="1" applyBorder="1"/>
    <xf numFmtId="0" fontId="18" fillId="0" borderId="0" xfId="0" applyFont="1" applyFill="1" applyAlignment="1">
      <alignment horizontal="center"/>
    </xf>
    <xf numFmtId="0" fontId="18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4" xfId="0" applyFont="1" applyBorder="1"/>
    <xf numFmtId="0" fontId="18" fillId="0" borderId="1" xfId="0" applyFont="1" applyBorder="1"/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vertical="center" textRotation="90"/>
    </xf>
    <xf numFmtId="0" fontId="18" fillId="0" borderId="0" xfId="0" applyFont="1" applyBorder="1" applyAlignment="1">
      <alignment horizontal="center"/>
    </xf>
    <xf numFmtId="0" fontId="19" fillId="0" borderId="0" xfId="12" applyFont="1" applyBorder="1" applyAlignment="1">
      <alignment horizontal="left"/>
    </xf>
    <xf numFmtId="0" fontId="18" fillId="2" borderId="0" xfId="0" applyFont="1" applyFill="1" applyBorder="1" applyAlignment="1"/>
    <xf numFmtId="0" fontId="18" fillId="2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164" fontId="17" fillId="0" borderId="1" xfId="1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3" fontId="18" fillId="0" borderId="0" xfId="0" applyNumberFormat="1" applyFont="1" applyBorder="1"/>
    <xf numFmtId="164" fontId="20" fillId="4" borderId="3" xfId="14" applyNumberFormat="1" applyFont="1" applyFill="1" applyBorder="1"/>
    <xf numFmtId="164" fontId="3" fillId="0" borderId="0" xfId="1" applyNumberFormat="1" applyFont="1" applyFill="1" applyBorder="1" applyAlignment="1">
      <alignment horizontal="left"/>
    </xf>
    <xf numFmtId="0" fontId="18" fillId="0" borderId="0" xfId="1" applyNumberFormat="1" applyFont="1" applyFill="1" applyBorder="1"/>
    <xf numFmtId="164" fontId="18" fillId="0" borderId="0" xfId="1" applyNumberFormat="1" applyFont="1" applyBorder="1" applyAlignment="1">
      <alignment horizontal="right"/>
    </xf>
    <xf numFmtId="0" fontId="21" fillId="0" borderId="0" xfId="1" applyNumberFormat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10" fontId="18" fillId="0" borderId="0" xfId="3" applyNumberFormat="1" applyFont="1" applyFill="1" applyBorder="1" applyAlignment="1">
      <alignment horizontal="right"/>
    </xf>
    <xf numFmtId="10" fontId="18" fillId="0" borderId="0" xfId="3" applyNumberFormat="1" applyFont="1" applyBorder="1" applyAlignment="1">
      <alignment horizontal="right"/>
    </xf>
    <xf numFmtId="10" fontId="18" fillId="0" borderId="0" xfId="3" applyNumberFormat="1" applyFont="1" applyBorder="1"/>
    <xf numFmtId="0" fontId="18" fillId="0" borderId="0" xfId="0" applyFont="1" applyBorder="1" applyAlignment="1">
      <alignment horizontal="right" wrapText="1"/>
    </xf>
    <xf numFmtId="0" fontId="18" fillId="0" borderId="0" xfId="0" applyFont="1" applyBorder="1" applyAlignment="1">
      <alignment horizontal="center" wrapText="1"/>
    </xf>
    <xf numFmtId="0" fontId="3" fillId="0" borderId="0" xfId="10" applyFont="1" applyFill="1" applyBorder="1" applyAlignment="1">
      <alignment horizontal="left"/>
    </xf>
    <xf numFmtId="43" fontId="18" fillId="0" borderId="0" xfId="1" applyFont="1" applyBorder="1"/>
    <xf numFmtId="44" fontId="18" fillId="0" borderId="0" xfId="0" applyNumberFormat="1" applyFont="1" applyBorder="1"/>
    <xf numFmtId="165" fontId="18" fillId="0" borderId="0" xfId="2" applyNumberFormat="1" applyFont="1" applyBorder="1"/>
    <xf numFmtId="165" fontId="18" fillId="0" borderId="0" xfId="0" applyNumberFormat="1" applyFont="1" applyBorder="1"/>
    <xf numFmtId="44" fontId="18" fillId="0" borderId="0" xfId="2" applyFont="1" applyBorder="1" applyAlignment="1">
      <alignment horizontal="right"/>
    </xf>
    <xf numFmtId="166" fontId="18" fillId="0" borderId="0" xfId="2" applyNumberFormat="1" applyFont="1" applyBorder="1"/>
    <xf numFmtId="44" fontId="18" fillId="0" borderId="0" xfId="2" applyNumberFormat="1" applyFont="1" applyFill="1" applyBorder="1"/>
    <xf numFmtId="10" fontId="18" fillId="0" borderId="0" xfId="3" applyNumberFormat="1" applyFont="1"/>
    <xf numFmtId="0" fontId="0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 textRotation="90"/>
    </xf>
    <xf numFmtId="0" fontId="18" fillId="0" borderId="2" xfId="0" applyFont="1" applyFill="1" applyBorder="1" applyAlignment="1">
      <alignment horizontal="center" vertical="center" textRotation="90"/>
    </xf>
    <xf numFmtId="0" fontId="18" fillId="0" borderId="3" xfId="0" applyFont="1" applyFill="1" applyBorder="1" applyAlignment="1">
      <alignment horizontal="center" vertical="center" textRotation="90"/>
    </xf>
  </cellXfs>
  <cellStyles count="15">
    <cellStyle name="Comma" xfId="1" builtinId="3"/>
    <cellStyle name="Comma 10" xfId="9" xr:uid="{00000000-0005-0000-0000-000001000000}"/>
    <cellStyle name="Comma 2 6 2 2" xfId="5" xr:uid="{00000000-0005-0000-0000-000002000000}"/>
    <cellStyle name="Comma 20" xfId="14" xr:uid="{00000000-0005-0000-0000-000003000000}"/>
    <cellStyle name="Currency" xfId="2" builtinId="4"/>
    <cellStyle name="Currency 2 6 2 2" xfId="7" xr:uid="{00000000-0005-0000-0000-000005000000}"/>
    <cellStyle name="Normal" xfId="0" builtinId="0"/>
    <cellStyle name="Normal 10 2" xfId="4" xr:uid="{00000000-0005-0000-0000-000007000000}"/>
    <cellStyle name="Normal 2" xfId="8" xr:uid="{00000000-0005-0000-0000-000008000000}"/>
    <cellStyle name="Normal 84 2" xfId="11" xr:uid="{00000000-0005-0000-0000-000009000000}"/>
    <cellStyle name="Normal 87" xfId="13" xr:uid="{00000000-0005-0000-0000-00000A000000}"/>
    <cellStyle name="Normal 90" xfId="12" xr:uid="{00000000-0005-0000-0000-00000B000000}"/>
    <cellStyle name="Normal_Price out" xfId="10" xr:uid="{00000000-0005-0000-0000-00000C000000}"/>
    <cellStyle name="Percent" xfId="3" builtinId="5"/>
    <cellStyle name="Percent 2 6 2 2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2"/>
  <sheetViews>
    <sheetView workbookViewId="0">
      <selection activeCell="G27" sqref="G27"/>
    </sheetView>
  </sheetViews>
  <sheetFormatPr defaultRowHeight="15" x14ac:dyDescent="0.25"/>
  <cols>
    <col min="4" max="4" width="10.28515625" bestFit="1" customWidth="1"/>
    <col min="6" max="6" width="11.5703125" bestFit="1" customWidth="1"/>
    <col min="8" max="8" width="11.5703125" bestFit="1" customWidth="1"/>
    <col min="9" max="9" width="10.5703125" bestFit="1" customWidth="1"/>
    <col min="11" max="11" width="10.5703125" bestFit="1" customWidth="1"/>
  </cols>
  <sheetData>
    <row r="1" spans="1:11" ht="23.25" x14ac:dyDescent="0.35">
      <c r="A1" s="50" t="s">
        <v>0</v>
      </c>
    </row>
    <row r="2" spans="1:11" ht="18.75" x14ac:dyDescent="0.3">
      <c r="A2" s="49" t="s">
        <v>8</v>
      </c>
    </row>
    <row r="3" spans="1:11" ht="15.75" x14ac:dyDescent="0.25">
      <c r="A3" s="1" t="s">
        <v>6</v>
      </c>
    </row>
    <row r="6" spans="1:11" x14ac:dyDescent="0.25">
      <c r="D6" s="2"/>
      <c r="E6" s="2"/>
      <c r="F6" s="2"/>
      <c r="H6" s="2"/>
      <c r="I6" s="3" t="s">
        <v>1</v>
      </c>
      <c r="K6" s="3" t="s">
        <v>1</v>
      </c>
    </row>
    <row r="7" spans="1:11" x14ac:dyDescent="0.25">
      <c r="D7" s="3" t="s">
        <v>9</v>
      </c>
      <c r="E7" s="2"/>
      <c r="F7" s="2"/>
      <c r="G7" s="4" t="s">
        <v>2</v>
      </c>
      <c r="H7" s="3" t="s">
        <v>1</v>
      </c>
      <c r="I7" s="3" t="s">
        <v>10</v>
      </c>
      <c r="J7" s="4" t="s">
        <v>11</v>
      </c>
      <c r="K7" s="3" t="s">
        <v>3</v>
      </c>
    </row>
    <row r="8" spans="1:11" x14ac:dyDescent="0.25">
      <c r="D8" s="5" t="s">
        <v>5</v>
      </c>
      <c r="E8" s="5" t="s">
        <v>4</v>
      </c>
      <c r="F8" s="5" t="s">
        <v>12</v>
      </c>
      <c r="G8" s="5" t="s">
        <v>4</v>
      </c>
      <c r="H8" s="5" t="s">
        <v>12</v>
      </c>
      <c r="I8" s="5" t="s">
        <v>13</v>
      </c>
      <c r="J8" s="6" t="s">
        <v>14</v>
      </c>
      <c r="K8" s="5" t="s">
        <v>13</v>
      </c>
    </row>
    <row r="9" spans="1:11" x14ac:dyDescent="0.25">
      <c r="A9" s="7" t="s">
        <v>15</v>
      </c>
      <c r="D9" s="8"/>
      <c r="E9" s="8"/>
      <c r="F9" s="8"/>
      <c r="G9" s="8"/>
      <c r="H9" s="8"/>
    </row>
    <row r="10" spans="1:11" x14ac:dyDescent="0.25">
      <c r="A10" s="7"/>
      <c r="D10" s="8"/>
      <c r="E10" s="8"/>
      <c r="F10" s="8"/>
      <c r="G10" s="8"/>
      <c r="H10" s="8"/>
    </row>
    <row r="11" spans="1:11" x14ac:dyDescent="0.25">
      <c r="A11" s="9" t="s">
        <v>16</v>
      </c>
      <c r="B11" s="9"/>
      <c r="C11" s="9"/>
      <c r="D11" s="8"/>
      <c r="E11" s="8"/>
      <c r="F11" s="8"/>
      <c r="G11" s="8"/>
      <c r="H11" s="8"/>
    </row>
    <row r="12" spans="1:11" ht="17.25" x14ac:dyDescent="0.4">
      <c r="B12" s="10" t="s">
        <v>175</v>
      </c>
      <c r="D12" s="11">
        <v>14393.170227638017</v>
      </c>
      <c r="E12" s="12">
        <v>134.59</v>
      </c>
      <c r="F12" s="71">
        <f>+D12*E12</f>
        <v>1937176.7809378006</v>
      </c>
      <c r="G12" s="12">
        <f>+References!B48</f>
        <v>140.82</v>
      </c>
      <c r="H12" s="13">
        <f>+G12*D12</f>
        <v>2026846.2314559855</v>
      </c>
      <c r="I12" s="14">
        <f>+H12-F12</f>
        <v>89669.450518184807</v>
      </c>
      <c r="J12" s="48">
        <f>+References!G52</f>
        <v>0.97523753102907074</v>
      </c>
      <c r="K12" s="15">
        <f>+I12/J12</f>
        <v>91946.267104349026</v>
      </c>
    </row>
    <row r="13" spans="1:11" s="7" customFormat="1" ht="12.75" x14ac:dyDescent="0.2">
      <c r="D13" s="16">
        <f>SUM(D12:D12)</f>
        <v>14393.170227638017</v>
      </c>
      <c r="E13" s="17"/>
      <c r="F13" s="18">
        <f>SUM(F12:F12)</f>
        <v>1937176.7809378006</v>
      </c>
      <c r="G13" s="19"/>
      <c r="H13" s="18">
        <f>SUM(H12:H12)</f>
        <v>2026846.2314559855</v>
      </c>
      <c r="I13" s="18">
        <f>SUM(I12:I12)</f>
        <v>89669.450518184807</v>
      </c>
      <c r="K13" s="18">
        <f>SUM(K12:K12)</f>
        <v>91946.267104349026</v>
      </c>
    </row>
    <row r="14" spans="1:11" x14ac:dyDescent="0.25">
      <c r="D14" s="8"/>
      <c r="E14" s="20"/>
      <c r="F14" s="21"/>
      <c r="G14" s="8"/>
      <c r="H14" s="8"/>
    </row>
    <row r="15" spans="1:11" x14ac:dyDescent="0.25">
      <c r="D15" s="8"/>
      <c r="E15" s="20"/>
      <c r="F15" s="21"/>
      <c r="G15" s="8"/>
      <c r="H15" s="8"/>
    </row>
    <row r="16" spans="1:11" x14ac:dyDescent="0.25">
      <c r="A16" s="7" t="s">
        <v>17</v>
      </c>
      <c r="D16" s="8"/>
      <c r="E16" s="20"/>
      <c r="F16" s="21"/>
      <c r="G16" s="8"/>
      <c r="H16" s="8"/>
    </row>
    <row r="17" spans="1:11" x14ac:dyDescent="0.25">
      <c r="A17" s="7"/>
      <c r="D17" s="8"/>
      <c r="E17" s="20"/>
      <c r="F17" s="21"/>
      <c r="G17" s="8"/>
      <c r="H17" s="8"/>
    </row>
    <row r="18" spans="1:11" x14ac:dyDescent="0.25">
      <c r="A18" s="9" t="s">
        <v>16</v>
      </c>
      <c r="D18" s="8"/>
      <c r="E18" s="20"/>
      <c r="F18" s="21"/>
      <c r="G18" s="8"/>
      <c r="H18" s="8"/>
    </row>
    <row r="19" spans="1:11" ht="17.25" x14ac:dyDescent="0.4">
      <c r="B19" s="10" t="s">
        <v>175</v>
      </c>
      <c r="D19" s="11">
        <v>11355.20043665591</v>
      </c>
      <c r="E19" s="12">
        <v>134.59</v>
      </c>
      <c r="F19" s="72">
        <f>+E19*D19</f>
        <v>1528296.426769519</v>
      </c>
      <c r="G19" s="12">
        <f>+G12</f>
        <v>140.82</v>
      </c>
      <c r="H19" s="13">
        <f>+G19*D19</f>
        <v>1599039.3254898852</v>
      </c>
      <c r="I19" s="14">
        <f>+H19-F19</f>
        <v>70742.898720366182</v>
      </c>
      <c r="J19">
        <f>+J12</f>
        <v>0.97523753102907074</v>
      </c>
      <c r="K19" s="15">
        <f>+I19/J19</f>
        <v>72539.147099597641</v>
      </c>
    </row>
    <row r="20" spans="1:11" s="7" customFormat="1" ht="12.75" x14ac:dyDescent="0.2">
      <c r="D20" s="16">
        <f>SUM(D19:D19)</f>
        <v>11355.20043665591</v>
      </c>
      <c r="E20" s="17"/>
      <c r="F20" s="18">
        <f>SUM(F19:F19)</f>
        <v>1528296.426769519</v>
      </c>
      <c r="G20" s="19"/>
      <c r="H20" s="18">
        <f>SUM(H19:H19)</f>
        <v>1599039.3254898852</v>
      </c>
      <c r="I20" s="18">
        <f>SUM(I19:I19)</f>
        <v>70742.898720366182</v>
      </c>
      <c r="K20" s="18">
        <f>SUM(K19:K19)</f>
        <v>72539.147099597641</v>
      </c>
    </row>
    <row r="21" spans="1:11" x14ac:dyDescent="0.25">
      <c r="D21" s="8"/>
      <c r="E21" s="20"/>
      <c r="F21" s="21"/>
      <c r="G21" s="8"/>
      <c r="H21" s="8"/>
    </row>
    <row r="22" spans="1:11" ht="17.25" x14ac:dyDescent="0.4">
      <c r="D22" s="23">
        <f>+D20+D13</f>
        <v>25748.370664293929</v>
      </c>
      <c r="E22" s="23"/>
      <c r="F22" s="73">
        <f t="shared" ref="F22:I22" si="0">+F20+F13</f>
        <v>3465473.2077073194</v>
      </c>
      <c r="G22" s="24"/>
      <c r="H22" s="24">
        <f t="shared" si="0"/>
        <v>3625885.5569458706</v>
      </c>
      <c r="I22" s="24">
        <f t="shared" si="0"/>
        <v>160412.34923855099</v>
      </c>
      <c r="K22" s="24">
        <f>+K20+K13</f>
        <v>164485.41420394665</v>
      </c>
    </row>
    <row r="23" spans="1:11" x14ac:dyDescent="0.25">
      <c r="D23" s="8"/>
      <c r="E23" s="20"/>
      <c r="F23" s="21"/>
      <c r="G23" s="8"/>
      <c r="H23" s="8"/>
    </row>
    <row r="24" spans="1:11" x14ac:dyDescent="0.25">
      <c r="D24" s="8"/>
      <c r="E24" s="20"/>
      <c r="F24" s="21"/>
      <c r="G24" s="8"/>
      <c r="H24" s="8"/>
    </row>
    <row r="25" spans="1:11" x14ac:dyDescent="0.25">
      <c r="A25" s="7" t="s">
        <v>18</v>
      </c>
      <c r="D25" s="8"/>
      <c r="E25" s="20"/>
      <c r="F25" s="21"/>
      <c r="G25" s="8"/>
      <c r="H25" s="8"/>
    </row>
    <row r="26" spans="1:11" x14ac:dyDescent="0.25">
      <c r="A26" s="7"/>
      <c r="D26" s="8"/>
      <c r="E26" s="20"/>
      <c r="F26" s="21"/>
      <c r="G26" s="8"/>
      <c r="H26" s="8"/>
    </row>
    <row r="27" spans="1:11" x14ac:dyDescent="0.25">
      <c r="A27" s="9" t="s">
        <v>16</v>
      </c>
      <c r="D27" s="8"/>
      <c r="E27" s="20"/>
      <c r="F27" s="21"/>
      <c r="G27" s="8"/>
      <c r="H27" s="8"/>
    </row>
    <row r="28" spans="1:11" ht="17.25" x14ac:dyDescent="0.4">
      <c r="B28" s="10" t="s">
        <v>175</v>
      </c>
      <c r="D28" s="11">
        <v>4222.854372971623</v>
      </c>
      <c r="E28" s="12">
        <v>134.59</v>
      </c>
      <c r="F28" s="22">
        <f>+E28*D28</f>
        <v>568353.97005825071</v>
      </c>
      <c r="G28" s="12">
        <f>+G12</f>
        <v>140.82</v>
      </c>
      <c r="H28" s="13">
        <f>+G28*D28</f>
        <v>594662.35280186392</v>
      </c>
      <c r="I28" s="14">
        <f>+H28-F28</f>
        <v>26308.382743613212</v>
      </c>
      <c r="J28" s="25">
        <v>1</v>
      </c>
      <c r="K28" s="15">
        <f>+I28/J28</f>
        <v>26308.382743613212</v>
      </c>
    </row>
    <row r="29" spans="1:11" s="7" customFormat="1" x14ac:dyDescent="0.35">
      <c r="D29" s="26">
        <f>SUM(D28:D28)</f>
        <v>4222.854372971623</v>
      </c>
      <c r="E29" s="27"/>
      <c r="F29" s="28">
        <f>SUM(F28:F28)</f>
        <v>568353.97005825071</v>
      </c>
      <c r="G29" s="27"/>
      <c r="H29" s="29">
        <f>SUM(H28:H28)</f>
        <v>594662.35280186392</v>
      </c>
      <c r="I29" s="29">
        <f>SUM(I28:I28)</f>
        <v>26308.382743613212</v>
      </c>
      <c r="J29" s="30"/>
      <c r="K29" s="29">
        <f>SUM(K28:K28)</f>
        <v>26308.382743613212</v>
      </c>
    </row>
    <row r="30" spans="1:11" x14ac:dyDescent="0.25">
      <c r="D30" s="8"/>
      <c r="E30" s="8"/>
      <c r="F30" s="21"/>
      <c r="H30" s="8"/>
    </row>
    <row r="31" spans="1:11" x14ac:dyDescent="0.25">
      <c r="A31" s="9"/>
      <c r="D31" s="8"/>
      <c r="E31" s="8"/>
      <c r="F31" s="21"/>
      <c r="H31" s="8"/>
    </row>
    <row r="32" spans="1:11" s="31" customFormat="1" ht="12.75" x14ac:dyDescent="0.2">
      <c r="D32" s="32">
        <f>+D29+D22</f>
        <v>29971.225037265551</v>
      </c>
      <c r="E32" s="32"/>
      <c r="F32" s="33">
        <f t="shared" ref="F32:K32" si="1">+F29+F22</f>
        <v>4033827.1777655701</v>
      </c>
      <c r="G32" s="32"/>
      <c r="H32" s="33">
        <f t="shared" si="1"/>
        <v>4220547.9097477347</v>
      </c>
      <c r="I32" s="33">
        <f t="shared" si="1"/>
        <v>186720.7319821642</v>
      </c>
      <c r="J32" s="33"/>
      <c r="K32" s="33">
        <f t="shared" si="1"/>
        <v>190793.79694755987</v>
      </c>
    </row>
  </sheetData>
  <pageMargins left="0.7" right="0.7" top="0.5" bottom="0.5" header="0.3" footer="0.3"/>
  <pageSetup orientation="landscape" verticalDpi="599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H57"/>
  <sheetViews>
    <sheetView topLeftCell="A25" workbookViewId="0">
      <selection activeCell="A52" sqref="A52"/>
    </sheetView>
  </sheetViews>
  <sheetFormatPr defaultRowHeight="15" x14ac:dyDescent="0.25"/>
  <cols>
    <col min="1" max="1" width="36.28515625" bestFit="1" customWidth="1"/>
    <col min="2" max="2" width="19" bestFit="1" customWidth="1"/>
    <col min="3" max="3" width="16" customWidth="1"/>
    <col min="4" max="5" width="7" bestFit="1" customWidth="1"/>
    <col min="6" max="6" width="11.42578125" bestFit="1" customWidth="1"/>
    <col min="7" max="7" width="11.140625" customWidth="1"/>
  </cols>
  <sheetData>
    <row r="1" spans="1:8" x14ac:dyDescent="0.25">
      <c r="A1" s="164" t="s">
        <v>34</v>
      </c>
      <c r="B1" s="164"/>
      <c r="C1" s="164"/>
      <c r="D1" s="164"/>
      <c r="E1" s="164"/>
      <c r="F1" s="164"/>
      <c r="G1" s="164"/>
      <c r="H1" s="164"/>
    </row>
    <row r="2" spans="1:8" x14ac:dyDescent="0.25">
      <c r="A2" s="34" t="s">
        <v>35</v>
      </c>
      <c r="B2" s="51" t="s">
        <v>36</v>
      </c>
      <c r="C2" s="51" t="s">
        <v>37</v>
      </c>
      <c r="D2" s="51" t="s">
        <v>38</v>
      </c>
      <c r="E2" s="52" t="s">
        <v>39</v>
      </c>
      <c r="F2" s="52" t="s">
        <v>40</v>
      </c>
      <c r="G2" s="52" t="s">
        <v>41</v>
      </c>
      <c r="H2" s="51" t="s">
        <v>42</v>
      </c>
    </row>
    <row r="3" spans="1:8" x14ac:dyDescent="0.25">
      <c r="A3" s="34" t="s">
        <v>43</v>
      </c>
      <c r="B3" s="53">
        <f>52*5/12</f>
        <v>21.666666666666668</v>
      </c>
      <c r="C3" s="54">
        <f>$B$3*2</f>
        <v>43.333333333333336</v>
      </c>
      <c r="D3" s="54">
        <f>$B$3*3</f>
        <v>65</v>
      </c>
      <c r="E3" s="54">
        <f>$B$3*4</f>
        <v>86.666666666666671</v>
      </c>
      <c r="F3" s="54">
        <f>$B$3*5</f>
        <v>108.33333333333334</v>
      </c>
      <c r="G3" s="54">
        <f>$B$3*6</f>
        <v>130</v>
      </c>
      <c r="H3" s="54">
        <f>$B$3*7</f>
        <v>151.66666666666669</v>
      </c>
    </row>
    <row r="4" spans="1:8" x14ac:dyDescent="0.25">
      <c r="A4" s="34" t="s">
        <v>44</v>
      </c>
      <c r="B4" s="53">
        <f>52*4/12</f>
        <v>17.333333333333332</v>
      </c>
      <c r="C4" s="54">
        <f>$B$4*2</f>
        <v>34.666666666666664</v>
      </c>
      <c r="D4" s="54">
        <f>$B$4*3</f>
        <v>52</v>
      </c>
      <c r="E4" s="54">
        <f>$B$4*4</f>
        <v>69.333333333333329</v>
      </c>
      <c r="F4" s="54">
        <f>$B$4*5</f>
        <v>86.666666666666657</v>
      </c>
      <c r="G4" s="54">
        <f>$B$4*6</f>
        <v>104</v>
      </c>
      <c r="H4" s="54">
        <f>$B$4*7</f>
        <v>121.33333333333333</v>
      </c>
    </row>
    <row r="5" spans="1:8" x14ac:dyDescent="0.25">
      <c r="A5" s="34" t="s">
        <v>45</v>
      </c>
      <c r="B5" s="53">
        <f>52*3/12</f>
        <v>13</v>
      </c>
      <c r="C5" s="54">
        <f>$B$5*2</f>
        <v>26</v>
      </c>
      <c r="D5" s="54">
        <f>$B$5*3</f>
        <v>39</v>
      </c>
      <c r="E5" s="54">
        <f>$B$5*4</f>
        <v>52</v>
      </c>
      <c r="F5" s="54">
        <f>$B$5*5</f>
        <v>65</v>
      </c>
      <c r="G5" s="54">
        <f>$B$5*6</f>
        <v>78</v>
      </c>
      <c r="H5" s="54">
        <f>$B$5*7</f>
        <v>91</v>
      </c>
    </row>
    <row r="6" spans="1:8" x14ac:dyDescent="0.25">
      <c r="A6" s="34" t="s">
        <v>46</v>
      </c>
      <c r="B6" s="53">
        <f>52*2/12</f>
        <v>8.6666666666666661</v>
      </c>
      <c r="C6" s="55">
        <f>$B$6*2</f>
        <v>17.333333333333332</v>
      </c>
      <c r="D6" s="55">
        <f>$B$6*3</f>
        <v>26</v>
      </c>
      <c r="E6" s="55">
        <f>$B$6*4</f>
        <v>34.666666666666664</v>
      </c>
      <c r="F6" s="55">
        <f>$B$6*5</f>
        <v>43.333333333333329</v>
      </c>
      <c r="G6" s="55">
        <f>$B$6*6</f>
        <v>52</v>
      </c>
      <c r="H6" s="55">
        <f>$B$6*7</f>
        <v>60.666666666666664</v>
      </c>
    </row>
    <row r="7" spans="1:8" x14ac:dyDescent="0.25">
      <c r="A7" s="34" t="s">
        <v>47</v>
      </c>
      <c r="B7" s="53">
        <f>52/12</f>
        <v>4.333333333333333</v>
      </c>
      <c r="C7" s="55">
        <f>$B$7*2</f>
        <v>8.6666666666666661</v>
      </c>
      <c r="D7" s="55">
        <f>$B$7*3</f>
        <v>13</v>
      </c>
      <c r="E7" s="55">
        <f>$B$7*4</f>
        <v>17.333333333333332</v>
      </c>
      <c r="F7" s="55">
        <f>$B$7*5</f>
        <v>21.666666666666664</v>
      </c>
      <c r="G7" s="55">
        <f>$B$7*6</f>
        <v>26</v>
      </c>
      <c r="H7" s="55">
        <f>$B$7*7</f>
        <v>30.333333333333332</v>
      </c>
    </row>
    <row r="8" spans="1:8" x14ac:dyDescent="0.25">
      <c r="A8" s="34" t="s">
        <v>48</v>
      </c>
      <c r="B8" s="53">
        <f>26/12</f>
        <v>2.1666666666666665</v>
      </c>
      <c r="C8" s="55">
        <f>$B$8*2</f>
        <v>4.333333333333333</v>
      </c>
      <c r="D8" s="55">
        <f>$B$8*3</f>
        <v>6.5</v>
      </c>
      <c r="E8" s="55">
        <f>$B$8*4</f>
        <v>8.6666666666666661</v>
      </c>
      <c r="F8" s="55">
        <f>$B$8*5</f>
        <v>10.833333333333332</v>
      </c>
      <c r="G8" s="55">
        <f>$B$8*6</f>
        <v>13</v>
      </c>
      <c r="H8" s="55">
        <f>$B$8*7</f>
        <v>15.166666666666666</v>
      </c>
    </row>
    <row r="9" spans="1:8" x14ac:dyDescent="0.25">
      <c r="A9" s="34" t="s">
        <v>49</v>
      </c>
      <c r="B9" s="53">
        <f>12/12</f>
        <v>1</v>
      </c>
      <c r="C9" s="55">
        <f>$B$9*2</f>
        <v>2</v>
      </c>
      <c r="D9" s="55">
        <f>$B$9*3</f>
        <v>3</v>
      </c>
      <c r="E9" s="55">
        <f>$B$9*4</f>
        <v>4</v>
      </c>
      <c r="F9" s="55">
        <f>$B$9*5</f>
        <v>5</v>
      </c>
      <c r="G9" s="55">
        <f>$B$9*6</f>
        <v>6</v>
      </c>
      <c r="H9" s="55">
        <f>$B$9*7</f>
        <v>7</v>
      </c>
    </row>
    <row r="10" spans="1:8" x14ac:dyDescent="0.25">
      <c r="A10" s="34"/>
      <c r="B10" s="53"/>
      <c r="C10" s="55"/>
      <c r="D10" s="55"/>
      <c r="E10" s="55"/>
      <c r="F10" s="55"/>
      <c r="G10" s="55"/>
      <c r="H10" s="55"/>
    </row>
    <row r="11" spans="1:8" x14ac:dyDescent="0.25">
      <c r="A11" s="164" t="s">
        <v>50</v>
      </c>
      <c r="B11" s="164"/>
      <c r="C11" s="55"/>
      <c r="D11" s="55"/>
      <c r="E11" s="55"/>
      <c r="F11" s="55"/>
      <c r="G11" s="55"/>
      <c r="H11" s="55"/>
    </row>
    <row r="12" spans="1:8" x14ac:dyDescent="0.25">
      <c r="A12" s="4" t="s">
        <v>51</v>
      </c>
      <c r="B12" s="56" t="s">
        <v>52</v>
      </c>
      <c r="C12" s="55"/>
      <c r="D12" s="55"/>
      <c r="E12" s="55"/>
      <c r="F12" s="55"/>
      <c r="G12" s="55"/>
      <c r="H12" s="55"/>
    </row>
    <row r="13" spans="1:8" x14ac:dyDescent="0.25">
      <c r="A13" s="43" t="s">
        <v>53</v>
      </c>
      <c r="B13" s="57">
        <v>20</v>
      </c>
      <c r="C13" s="55"/>
      <c r="D13" s="55"/>
      <c r="E13" s="55"/>
      <c r="F13" s="55"/>
      <c r="G13" s="55"/>
      <c r="H13" s="55"/>
    </row>
    <row r="14" spans="1:8" x14ac:dyDescent="0.25">
      <c r="A14" s="43" t="s">
        <v>54</v>
      </c>
      <c r="B14" s="57">
        <v>34</v>
      </c>
      <c r="C14" s="55"/>
      <c r="D14" s="55"/>
      <c r="E14" s="55"/>
      <c r="F14" s="55"/>
      <c r="G14" s="55"/>
      <c r="H14" s="55"/>
    </row>
    <row r="15" spans="1:8" x14ac:dyDescent="0.25">
      <c r="A15" s="43" t="s">
        <v>55</v>
      </c>
      <c r="B15" s="57">
        <v>51</v>
      </c>
      <c r="C15" s="55"/>
      <c r="D15" s="55"/>
      <c r="E15" s="55"/>
      <c r="F15" s="55"/>
      <c r="G15" s="55"/>
      <c r="H15" s="55"/>
    </row>
    <row r="16" spans="1:8" x14ac:dyDescent="0.25">
      <c r="A16" s="43" t="s">
        <v>56</v>
      </c>
      <c r="B16" s="57">
        <v>77</v>
      </c>
      <c r="C16" s="55"/>
      <c r="D16" s="55"/>
      <c r="E16" s="55"/>
      <c r="F16" s="34" t="s">
        <v>57</v>
      </c>
      <c r="G16" s="57">
        <v>2000</v>
      </c>
      <c r="H16" s="55"/>
    </row>
    <row r="17" spans="1:8" x14ac:dyDescent="0.25">
      <c r="A17" s="43" t="s">
        <v>58</v>
      </c>
      <c r="B17" s="57">
        <v>97</v>
      </c>
      <c r="C17" s="55"/>
      <c r="D17" s="55"/>
      <c r="E17" s="55"/>
      <c r="F17" s="34" t="s">
        <v>59</v>
      </c>
      <c r="G17" s="58" t="s">
        <v>60</v>
      </c>
      <c r="H17" s="55"/>
    </row>
    <row r="18" spans="1:8" x14ac:dyDescent="0.25">
      <c r="A18" s="43" t="s">
        <v>61</v>
      </c>
      <c r="B18" s="57">
        <v>117</v>
      </c>
      <c r="C18" s="55"/>
      <c r="D18" s="55"/>
      <c r="E18" s="55"/>
      <c r="F18" s="34"/>
      <c r="G18" s="34"/>
      <c r="H18" s="55"/>
    </row>
    <row r="19" spans="1:8" x14ac:dyDescent="0.25">
      <c r="A19" s="43" t="s">
        <v>62</v>
      </c>
      <c r="B19" s="57">
        <v>157</v>
      </c>
      <c r="C19" s="55"/>
      <c r="D19" s="55"/>
      <c r="E19" s="55"/>
      <c r="F19" s="59"/>
      <c r="G19" s="60"/>
      <c r="H19" s="55"/>
    </row>
    <row r="20" spans="1:8" x14ac:dyDescent="0.25">
      <c r="A20" s="43" t="s">
        <v>63</v>
      </c>
      <c r="B20" s="57">
        <v>37</v>
      </c>
      <c r="C20" s="55" t="s">
        <v>64</v>
      </c>
      <c r="D20" s="55"/>
      <c r="E20" s="55"/>
      <c r="F20" s="59"/>
      <c r="G20" s="60"/>
      <c r="H20" s="55"/>
    </row>
    <row r="21" spans="1:8" x14ac:dyDescent="0.25">
      <c r="A21" s="43" t="s">
        <v>65</v>
      </c>
      <c r="B21" s="57">
        <v>47</v>
      </c>
      <c r="C21" s="55"/>
      <c r="D21" s="55"/>
      <c r="E21" s="55"/>
      <c r="F21" s="55"/>
      <c r="G21" s="55"/>
      <c r="H21" s="55"/>
    </row>
    <row r="22" spans="1:8" x14ac:dyDescent="0.25">
      <c r="A22" s="43" t="s">
        <v>66</v>
      </c>
      <c r="B22" s="57">
        <v>68</v>
      </c>
      <c r="C22" s="55"/>
      <c r="D22" s="55"/>
      <c r="E22" s="55"/>
      <c r="F22" s="55"/>
      <c r="G22" s="55"/>
      <c r="H22" s="55"/>
    </row>
    <row r="23" spans="1:8" x14ac:dyDescent="0.25">
      <c r="A23" s="43" t="s">
        <v>67</v>
      </c>
      <c r="B23" s="57">
        <v>34</v>
      </c>
      <c r="C23" s="55"/>
      <c r="D23" s="55"/>
      <c r="E23" s="55"/>
      <c r="F23" s="55"/>
      <c r="G23" s="55"/>
      <c r="H23" s="55"/>
    </row>
    <row r="24" spans="1:8" x14ac:dyDescent="0.25">
      <c r="A24" s="43" t="s">
        <v>7</v>
      </c>
      <c r="B24" s="57">
        <v>34</v>
      </c>
      <c r="C24" s="55"/>
      <c r="D24" s="55"/>
      <c r="E24" s="55"/>
      <c r="F24" s="55"/>
      <c r="G24" s="55"/>
      <c r="H24" s="55"/>
    </row>
    <row r="25" spans="1:8" x14ac:dyDescent="0.25">
      <c r="A25" s="4" t="s">
        <v>68</v>
      </c>
      <c r="B25" s="57"/>
      <c r="C25" s="55"/>
      <c r="D25" s="55"/>
      <c r="E25" s="55"/>
      <c r="F25" s="55"/>
      <c r="G25" s="55"/>
      <c r="H25" s="55"/>
    </row>
    <row r="26" spans="1:8" x14ac:dyDescent="0.25">
      <c r="A26" s="43" t="s">
        <v>69</v>
      </c>
      <c r="B26" s="57">
        <v>29</v>
      </c>
      <c r="C26" s="55"/>
      <c r="D26" s="55"/>
      <c r="E26" s="55"/>
      <c r="F26" s="55"/>
      <c r="G26" s="55"/>
      <c r="H26" s="55"/>
    </row>
    <row r="27" spans="1:8" x14ac:dyDescent="0.25">
      <c r="A27" s="43" t="s">
        <v>70</v>
      </c>
      <c r="B27" s="57">
        <v>175</v>
      </c>
      <c r="C27" s="55"/>
      <c r="D27" s="55"/>
      <c r="E27" s="55"/>
      <c r="F27" s="55"/>
      <c r="G27" s="55"/>
      <c r="H27" s="55"/>
    </row>
    <row r="28" spans="1:8" x14ac:dyDescent="0.25">
      <c r="A28" s="43" t="s">
        <v>71</v>
      </c>
      <c r="B28" s="57">
        <v>250</v>
      </c>
      <c r="C28" s="55"/>
      <c r="D28" s="55"/>
      <c r="E28" s="55"/>
      <c r="F28" s="55"/>
      <c r="G28" s="55"/>
      <c r="H28" s="55"/>
    </row>
    <row r="29" spans="1:8" x14ac:dyDescent="0.25">
      <c r="A29" s="43" t="s">
        <v>72</v>
      </c>
      <c r="B29" s="57">
        <v>324</v>
      </c>
      <c r="C29" s="55"/>
      <c r="D29" s="55"/>
      <c r="E29" s="55"/>
      <c r="F29" s="55"/>
      <c r="G29" s="55"/>
      <c r="H29" s="55"/>
    </row>
    <row r="30" spans="1:8" x14ac:dyDescent="0.25">
      <c r="A30" s="43" t="s">
        <v>73</v>
      </c>
      <c r="B30" s="57">
        <v>473</v>
      </c>
      <c r="C30" s="55"/>
      <c r="D30" s="55"/>
      <c r="E30" s="55"/>
      <c r="F30" s="55"/>
      <c r="G30" s="55"/>
      <c r="H30" s="55"/>
    </row>
    <row r="31" spans="1:8" x14ac:dyDescent="0.25">
      <c r="A31" s="43" t="s">
        <v>74</v>
      </c>
      <c r="B31" s="57">
        <v>613</v>
      </c>
      <c r="C31" s="55"/>
      <c r="D31" s="55"/>
      <c r="E31" s="55"/>
      <c r="F31" s="55"/>
      <c r="G31" s="55"/>
      <c r="H31" s="55"/>
    </row>
    <row r="32" spans="1:8" x14ac:dyDescent="0.25">
      <c r="A32" s="43" t="s">
        <v>75</v>
      </c>
      <c r="B32" s="57">
        <v>840</v>
      </c>
      <c r="C32" s="55"/>
      <c r="D32" s="55"/>
      <c r="E32" s="55"/>
      <c r="F32" s="55"/>
      <c r="G32" s="55"/>
      <c r="H32" s="55"/>
    </row>
    <row r="33" spans="1:8" x14ac:dyDescent="0.25">
      <c r="A33" s="43" t="s">
        <v>76</v>
      </c>
      <c r="B33" s="57">
        <v>980</v>
      </c>
      <c r="C33" s="55"/>
      <c r="D33" s="55"/>
      <c r="E33" s="55"/>
      <c r="F33" s="55"/>
      <c r="G33" s="55"/>
      <c r="H33" s="55"/>
    </row>
    <row r="34" spans="1:8" x14ac:dyDescent="0.25">
      <c r="A34" s="43" t="s">
        <v>77</v>
      </c>
      <c r="B34" s="57">
        <v>482</v>
      </c>
      <c r="C34" s="55" t="s">
        <v>64</v>
      </c>
      <c r="D34" s="55"/>
      <c r="E34" s="55"/>
      <c r="F34" s="55"/>
      <c r="G34" s="55"/>
      <c r="H34" s="55"/>
    </row>
    <row r="35" spans="1:8" x14ac:dyDescent="0.25">
      <c r="A35" s="43" t="s">
        <v>78</v>
      </c>
      <c r="B35" s="57">
        <v>689</v>
      </c>
      <c r="C35" s="55" t="s">
        <v>64</v>
      </c>
      <c r="D35" s="55"/>
      <c r="E35" s="55"/>
      <c r="F35" s="55"/>
      <c r="G35" s="55"/>
      <c r="H35" s="55"/>
    </row>
    <row r="36" spans="1:8" x14ac:dyDescent="0.25">
      <c r="A36" s="43" t="s">
        <v>79</v>
      </c>
      <c r="B36" s="57">
        <v>892</v>
      </c>
      <c r="C36" s="55" t="s">
        <v>64</v>
      </c>
      <c r="D36" s="55"/>
      <c r="E36" s="55"/>
      <c r="F36" s="55"/>
      <c r="G36" s="55"/>
      <c r="H36" s="55"/>
    </row>
    <row r="37" spans="1:8" x14ac:dyDescent="0.25">
      <c r="A37" s="43" t="s">
        <v>80</v>
      </c>
      <c r="B37" s="57">
        <v>1301</v>
      </c>
      <c r="C37" s="55"/>
      <c r="D37" s="55"/>
      <c r="E37" s="55"/>
      <c r="F37" s="55"/>
      <c r="G37" s="55"/>
      <c r="H37" s="55"/>
    </row>
    <row r="38" spans="1:8" x14ac:dyDescent="0.25">
      <c r="A38" s="43" t="s">
        <v>81</v>
      </c>
      <c r="B38" s="57">
        <v>1686</v>
      </c>
      <c r="C38" s="55"/>
      <c r="D38" s="55"/>
      <c r="E38" s="55"/>
      <c r="F38" s="55"/>
      <c r="G38" s="55"/>
      <c r="H38" s="55"/>
    </row>
    <row r="39" spans="1:8" x14ac:dyDescent="0.25">
      <c r="A39" s="43" t="s">
        <v>82</v>
      </c>
      <c r="B39" s="57">
        <v>2046</v>
      </c>
      <c r="C39" s="55"/>
      <c r="D39" s="55"/>
      <c r="E39" s="55"/>
      <c r="F39" s="55"/>
      <c r="G39" s="55"/>
      <c r="H39" s="55"/>
    </row>
    <row r="40" spans="1:8" x14ac:dyDescent="0.25">
      <c r="A40" s="43" t="s">
        <v>83</v>
      </c>
      <c r="B40" s="57">
        <v>2310</v>
      </c>
      <c r="C40" s="55"/>
      <c r="D40" s="55"/>
      <c r="E40" s="55"/>
      <c r="F40" s="55"/>
      <c r="G40" s="55"/>
      <c r="H40" s="55"/>
    </row>
    <row r="41" spans="1:8" x14ac:dyDescent="0.25">
      <c r="A41" s="43" t="s">
        <v>84</v>
      </c>
      <c r="B41" s="57">
        <v>2800</v>
      </c>
      <c r="C41" s="55" t="s">
        <v>64</v>
      </c>
      <c r="D41" s="55"/>
      <c r="E41" s="55"/>
      <c r="F41" s="55"/>
      <c r="G41" s="55"/>
      <c r="H41" s="55"/>
    </row>
    <row r="42" spans="1:8" x14ac:dyDescent="0.25">
      <c r="A42" s="43" t="s">
        <v>85</v>
      </c>
      <c r="B42" s="57">
        <v>125</v>
      </c>
      <c r="C42" s="55"/>
      <c r="D42" s="55"/>
      <c r="E42" s="55"/>
      <c r="F42" s="55"/>
      <c r="G42" s="55"/>
      <c r="H42" s="55"/>
    </row>
    <row r="43" spans="1:8" x14ac:dyDescent="0.25">
      <c r="A43" s="34"/>
      <c r="B43" s="165" t="s">
        <v>86</v>
      </c>
      <c r="C43" s="165"/>
      <c r="D43" s="34"/>
      <c r="E43" s="34"/>
      <c r="F43" s="34"/>
      <c r="G43" s="34"/>
      <c r="H43" s="34"/>
    </row>
    <row r="44" spans="1:8" x14ac:dyDescent="0.25">
      <c r="A44" s="34"/>
      <c r="B44" s="34"/>
      <c r="C44" s="34"/>
      <c r="D44" s="34"/>
      <c r="E44" s="34"/>
      <c r="F44" s="34"/>
      <c r="G44" s="34"/>
      <c r="H44" s="34"/>
    </row>
    <row r="45" spans="1:8" x14ac:dyDescent="0.25">
      <c r="A45" s="34"/>
      <c r="B45" s="34"/>
      <c r="C45" s="34"/>
      <c r="D45" s="34"/>
      <c r="E45" s="34"/>
      <c r="F45" s="34"/>
      <c r="G45" s="34"/>
      <c r="H45" s="34"/>
    </row>
    <row r="46" spans="1:8" x14ac:dyDescent="0.25">
      <c r="A46" s="35" t="s">
        <v>16</v>
      </c>
      <c r="B46" s="36" t="s">
        <v>19</v>
      </c>
      <c r="C46" s="36" t="s">
        <v>20</v>
      </c>
      <c r="D46" s="34"/>
      <c r="E46" s="34"/>
      <c r="F46" s="166" t="s">
        <v>21</v>
      </c>
      <c r="G46" s="166"/>
      <c r="H46" s="34"/>
    </row>
    <row r="47" spans="1:8" x14ac:dyDescent="0.25">
      <c r="A47" s="37" t="s">
        <v>22</v>
      </c>
      <c r="B47" s="61">
        <v>134.59</v>
      </c>
      <c r="C47" s="39">
        <f>B47/2000</f>
        <v>6.7295000000000008E-2</v>
      </c>
      <c r="D47" s="34"/>
      <c r="E47" s="34"/>
      <c r="F47" s="34" t="s">
        <v>23</v>
      </c>
      <c r="G47" s="40">
        <f>0.015</f>
        <v>1.4999999999999999E-2</v>
      </c>
      <c r="H47" s="34"/>
    </row>
    <row r="48" spans="1:8" x14ac:dyDescent="0.25">
      <c r="A48" s="37" t="s">
        <v>24</v>
      </c>
      <c r="B48" s="62">
        <v>140.82</v>
      </c>
      <c r="C48" s="41">
        <f>B48/2000</f>
        <v>7.041E-2</v>
      </c>
      <c r="D48" s="34"/>
      <c r="E48" s="34"/>
      <c r="F48" s="34" t="s">
        <v>25</v>
      </c>
      <c r="G48" s="42">
        <v>5.1000000000000004E-3</v>
      </c>
      <c r="H48" s="34"/>
    </row>
    <row r="49" spans="1:8" x14ac:dyDescent="0.25">
      <c r="A49" s="43" t="s">
        <v>26</v>
      </c>
      <c r="B49" s="38">
        <f>B48-B47</f>
        <v>6.2299999999999898</v>
      </c>
      <c r="C49" s="44">
        <f>C48-C47</f>
        <v>3.1149999999999928E-3</v>
      </c>
      <c r="D49" s="34"/>
      <c r="E49" s="34"/>
      <c r="F49" s="34" t="s">
        <v>27</v>
      </c>
      <c r="G49" s="70">
        <v>4.6624689709292297E-3</v>
      </c>
      <c r="H49" s="34" t="s">
        <v>173</v>
      </c>
    </row>
    <row r="50" spans="1:8" x14ac:dyDescent="0.25">
      <c r="A50" s="34"/>
      <c r="B50" s="34"/>
      <c r="C50" s="34"/>
      <c r="D50" s="34"/>
      <c r="E50" s="34"/>
      <c r="F50" s="34" t="s">
        <v>31</v>
      </c>
      <c r="G50" s="63">
        <f>SUM(G47:G49)</f>
        <v>2.4762468970929229E-2</v>
      </c>
      <c r="H50" s="34"/>
    </row>
    <row r="51" spans="1:8" x14ac:dyDescent="0.25">
      <c r="A51" s="34"/>
      <c r="B51" s="45" t="s">
        <v>28</v>
      </c>
      <c r="C51" s="34"/>
      <c r="D51" s="34"/>
      <c r="E51" s="34"/>
      <c r="F51" s="34"/>
      <c r="G51" s="34"/>
      <c r="H51" s="34"/>
    </row>
    <row r="52" spans="1:8" x14ac:dyDescent="0.25">
      <c r="A52" s="34" t="s">
        <v>29</v>
      </c>
      <c r="B52" s="46">
        <f>B49</f>
        <v>6.2299999999999898</v>
      </c>
      <c r="C52" s="34"/>
      <c r="D52" s="34"/>
      <c r="E52" s="34"/>
      <c r="F52" s="34" t="s">
        <v>14</v>
      </c>
      <c r="G52" s="47">
        <f>1-G50</f>
        <v>0.97523753102907074</v>
      </c>
      <c r="H52" s="34"/>
    </row>
    <row r="53" spans="1:8" x14ac:dyDescent="0.25">
      <c r="A53" s="34" t="s">
        <v>30</v>
      </c>
      <c r="B53" s="46">
        <f>B52/$G$52</f>
        <v>6.3881872895376501</v>
      </c>
      <c r="C53" s="34"/>
      <c r="D53" s="34"/>
      <c r="E53" s="34"/>
      <c r="F53" s="34"/>
      <c r="G53" s="34"/>
      <c r="H53" s="34"/>
    </row>
    <row r="54" spans="1:8" x14ac:dyDescent="0.25">
      <c r="A54" s="34" t="s">
        <v>32</v>
      </c>
      <c r="B54" s="74">
        <f>'Revenue &amp; Expense Adj.'!D22</f>
        <v>25748.370664293929</v>
      </c>
      <c r="C54" s="34"/>
      <c r="D54" s="34"/>
      <c r="E54" s="34"/>
      <c r="F54" s="34"/>
      <c r="G54" s="34"/>
      <c r="H54" s="34"/>
    </row>
    <row r="55" spans="1:8" x14ac:dyDescent="0.25">
      <c r="A55" s="4" t="s">
        <v>33</v>
      </c>
      <c r="B55" s="64">
        <f>B53*B54</f>
        <v>164485.41420394657</v>
      </c>
      <c r="C55" s="34"/>
      <c r="D55" s="34"/>
      <c r="E55" s="34"/>
      <c r="F55" s="34"/>
      <c r="G55" s="34"/>
      <c r="H55" s="34"/>
    </row>
    <row r="56" spans="1:8" x14ac:dyDescent="0.25">
      <c r="A56" s="34"/>
      <c r="B56" s="34"/>
      <c r="C56" s="34"/>
      <c r="D56" s="34"/>
      <c r="E56" s="34"/>
      <c r="F56" s="34"/>
      <c r="G56" s="34"/>
      <c r="H56" s="34"/>
    </row>
    <row r="57" spans="1:8" x14ac:dyDescent="0.25">
      <c r="A57" s="34"/>
      <c r="B57" s="34"/>
      <c r="C57" s="34"/>
      <c r="D57" s="34"/>
      <c r="E57" s="34"/>
      <c r="F57" s="34"/>
      <c r="G57" s="34"/>
      <c r="H57" s="34"/>
    </row>
  </sheetData>
  <mergeCells count="4">
    <mergeCell ref="A1:H1"/>
    <mergeCell ref="A11:B11"/>
    <mergeCell ref="B43:C43"/>
    <mergeCell ref="F46:G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  <pageSetUpPr fitToPage="1"/>
  </sheetPr>
  <dimension ref="A1:T85"/>
  <sheetViews>
    <sheetView tabSelected="1" workbookViewId="0">
      <selection sqref="A1:R72"/>
    </sheetView>
  </sheetViews>
  <sheetFormatPr defaultRowHeight="12.75" x14ac:dyDescent="0.2"/>
  <cols>
    <col min="1" max="1" width="3.7109375" style="80" bestFit="1" customWidth="1"/>
    <col min="2" max="2" width="16.85546875" style="80" customWidth="1"/>
    <col min="3" max="3" width="27.42578125" style="80" customWidth="1"/>
    <col min="4" max="4" width="11.42578125" style="80" customWidth="1"/>
    <col min="5" max="5" width="10.42578125" style="80" customWidth="1"/>
    <col min="6" max="6" width="11.7109375" style="80" customWidth="1"/>
    <col min="7" max="7" width="9.28515625" style="80" customWidth="1"/>
    <col min="8" max="8" width="14.85546875" style="80" customWidth="1"/>
    <col min="9" max="9" width="13.28515625" style="80" customWidth="1"/>
    <col min="10" max="10" width="14.140625" style="80" customWidth="1"/>
    <col min="11" max="11" width="13.85546875" style="80" customWidth="1"/>
    <col min="12" max="12" width="10" style="80" customWidth="1"/>
    <col min="13" max="13" width="10.140625" style="80" customWidth="1"/>
    <col min="14" max="14" width="11.140625" style="80" customWidth="1"/>
    <col min="15" max="15" width="15.42578125" style="80" bestFit="1" customWidth="1"/>
    <col min="16" max="16" width="9.85546875" style="80" bestFit="1" customWidth="1"/>
    <col min="17" max="17" width="15.7109375" style="80" bestFit="1" customWidth="1"/>
    <col min="18" max="18" width="13.28515625" style="80" customWidth="1"/>
    <col min="19" max="16384" width="9.140625" style="80"/>
  </cols>
  <sheetData>
    <row r="1" spans="1:20" ht="48" customHeight="1" x14ac:dyDescent="0.2">
      <c r="A1" s="75"/>
      <c r="B1" s="76" t="s">
        <v>87</v>
      </c>
      <c r="C1" s="77" t="s">
        <v>88</v>
      </c>
      <c r="D1" s="76" t="s">
        <v>89</v>
      </c>
      <c r="E1" s="76" t="s">
        <v>90</v>
      </c>
      <c r="F1" s="75" t="s">
        <v>91</v>
      </c>
      <c r="G1" s="76" t="s">
        <v>50</v>
      </c>
      <c r="H1" s="76" t="s">
        <v>92</v>
      </c>
      <c r="I1" s="78" t="s">
        <v>93</v>
      </c>
      <c r="J1" s="79" t="s">
        <v>26</v>
      </c>
      <c r="K1" s="76" t="s">
        <v>94</v>
      </c>
      <c r="L1" s="76" t="s">
        <v>95</v>
      </c>
      <c r="M1" s="76" t="s">
        <v>96</v>
      </c>
      <c r="N1" s="76" t="s">
        <v>174</v>
      </c>
      <c r="O1" s="76" t="s">
        <v>97</v>
      </c>
      <c r="P1" s="76" t="s">
        <v>98</v>
      </c>
      <c r="Q1" s="76" t="s">
        <v>99</v>
      </c>
      <c r="R1" s="76" t="s">
        <v>100</v>
      </c>
    </row>
    <row r="2" spans="1:20" x14ac:dyDescent="0.2">
      <c r="A2" s="167" t="s">
        <v>17</v>
      </c>
      <c r="B2" s="81">
        <v>22</v>
      </c>
      <c r="C2" s="80" t="s">
        <v>134</v>
      </c>
      <c r="D2" s="82">
        <v>41</v>
      </c>
      <c r="E2" s="83">
        <f>References!$B$9</f>
        <v>1</v>
      </c>
      <c r="F2" s="82">
        <f t="shared" ref="F2:F14" si="0">D2*E2*12</f>
        <v>492</v>
      </c>
      <c r="G2" s="65">
        <f>References!B13</f>
        <v>20</v>
      </c>
      <c r="H2" s="82">
        <f>G2*F2</f>
        <v>9840</v>
      </c>
      <c r="I2" s="84">
        <f t="shared" ref="I2:I14" si="1">$C$81*H2</f>
        <v>8180.7945145058065</v>
      </c>
      <c r="J2" s="85">
        <f>(References!$C$49*I2)</f>
        <v>25.483174912685527</v>
      </c>
      <c r="K2" s="85">
        <f>J2/References!$G$52</f>
        <v>26.130223767942645</v>
      </c>
      <c r="L2" s="85">
        <f t="shared" ref="L2:L14" si="2">(K2/F2)*E2</f>
        <v>5.3110210910452531E-2</v>
      </c>
      <c r="M2" s="66">
        <v>7.82</v>
      </c>
      <c r="N2" s="86">
        <f>L2+M2</f>
        <v>7.8731102109104532</v>
      </c>
      <c r="O2" s="87">
        <f t="shared" ref="O2:O14" si="3">D2*M2*12</f>
        <v>3847.44</v>
      </c>
      <c r="P2" s="88">
        <f t="shared" ref="P2:P14" si="4">N2</f>
        <v>7.8731102109104532</v>
      </c>
      <c r="Q2" s="88">
        <f>D2*N2*12</f>
        <v>3873.5702237679425</v>
      </c>
      <c r="R2" s="88">
        <f t="shared" ref="R2:R14" si="5">Q2-O2</f>
        <v>26.130223767942425</v>
      </c>
      <c r="T2" s="163">
        <f>+N2/M2-1</f>
        <v>6.7915870729480243E-3</v>
      </c>
    </row>
    <row r="3" spans="1:20" x14ac:dyDescent="0.2">
      <c r="A3" s="167"/>
      <c r="B3" s="81">
        <v>22</v>
      </c>
      <c r="C3" s="80" t="s">
        <v>102</v>
      </c>
      <c r="D3" s="82">
        <v>215</v>
      </c>
      <c r="E3" s="83">
        <f>References!$B$9</f>
        <v>1</v>
      </c>
      <c r="F3" s="82">
        <f t="shared" si="0"/>
        <v>2580</v>
      </c>
      <c r="G3" s="65">
        <f>References!B14</f>
        <v>34</v>
      </c>
      <c r="H3" s="82">
        <f t="shared" ref="H3:H14" si="6">G3*F3</f>
        <v>87720</v>
      </c>
      <c r="I3" s="84">
        <f t="shared" si="1"/>
        <v>72928.7901232164</v>
      </c>
      <c r="J3" s="85">
        <f>(References!$C$49*I3)</f>
        <v>227.17318123381855</v>
      </c>
      <c r="K3" s="85">
        <f>J3/References!$G$52</f>
        <v>232.9413850532448</v>
      </c>
      <c r="L3" s="85">
        <f t="shared" si="2"/>
        <v>9.02873585477693E-2</v>
      </c>
      <c r="M3" s="66">
        <v>8.7100000000000009</v>
      </c>
      <c r="N3" s="86">
        <f>L3+M3</f>
        <v>8.8002873585477701</v>
      </c>
      <c r="O3" s="87">
        <f t="shared" si="3"/>
        <v>22471.800000000003</v>
      </c>
      <c r="P3" s="88">
        <f t="shared" si="4"/>
        <v>8.8002873585477701</v>
      </c>
      <c r="Q3" s="88">
        <f t="shared" ref="Q3:Q14" si="7">D3*N3*12</f>
        <v>22704.741385053247</v>
      </c>
      <c r="R3" s="88">
        <f t="shared" si="5"/>
        <v>232.94138505324372</v>
      </c>
      <c r="T3" s="163">
        <f t="shared" ref="T3:T32" si="8">+N3/M3-1</f>
        <v>1.0365942427987385E-2</v>
      </c>
    </row>
    <row r="4" spans="1:20" x14ac:dyDescent="0.2">
      <c r="A4" s="167"/>
      <c r="B4" s="81">
        <v>22</v>
      </c>
      <c r="C4" s="80" t="s">
        <v>135</v>
      </c>
      <c r="D4" s="82">
        <v>60</v>
      </c>
      <c r="E4" s="83">
        <f>References!$B$7</f>
        <v>4.333333333333333</v>
      </c>
      <c r="F4" s="82">
        <f t="shared" si="0"/>
        <v>3120</v>
      </c>
      <c r="G4" s="65">
        <v>10</v>
      </c>
      <c r="H4" s="82">
        <f t="shared" si="6"/>
        <v>31200</v>
      </c>
      <c r="I4" s="84">
        <f t="shared" si="1"/>
        <v>25939.104558189141</v>
      </c>
      <c r="J4" s="85">
        <f>(References!$C$49*I4)</f>
        <v>80.800310698758992</v>
      </c>
      <c r="K4" s="85">
        <f>J4/References!$G$52</f>
        <v>82.851929020305946</v>
      </c>
      <c r="L4" s="85">
        <f t="shared" si="2"/>
        <v>0.11507212363931381</v>
      </c>
      <c r="M4" s="66">
        <v>9.67</v>
      </c>
      <c r="N4" s="86">
        <f t="shared" ref="N4:N14" si="9">L4+M4</f>
        <v>9.7850721236393134</v>
      </c>
      <c r="O4" s="87">
        <f t="shared" si="3"/>
        <v>6962.4000000000005</v>
      </c>
      <c r="P4" s="88">
        <f t="shared" si="4"/>
        <v>9.7850721236393134</v>
      </c>
      <c r="Q4" s="88">
        <f t="shared" si="7"/>
        <v>7045.2519290203054</v>
      </c>
      <c r="R4" s="88">
        <f t="shared" si="5"/>
        <v>82.851929020304851</v>
      </c>
      <c r="T4" s="163">
        <f t="shared" si="8"/>
        <v>1.1899909373248585E-2</v>
      </c>
    </row>
    <row r="5" spans="1:20" x14ac:dyDescent="0.2">
      <c r="A5" s="167"/>
      <c r="B5" s="81">
        <v>22</v>
      </c>
      <c r="C5" s="80" t="s">
        <v>101</v>
      </c>
      <c r="D5" s="82">
        <v>905</v>
      </c>
      <c r="E5" s="83">
        <f>References!$B$7</f>
        <v>4.333333333333333</v>
      </c>
      <c r="F5" s="82">
        <f t="shared" si="0"/>
        <v>47060</v>
      </c>
      <c r="G5" s="65">
        <f>References!B13</f>
        <v>20</v>
      </c>
      <c r="H5" s="82">
        <f t="shared" si="6"/>
        <v>941200</v>
      </c>
      <c r="I5" s="84">
        <f t="shared" si="1"/>
        <v>782496.32083870575</v>
      </c>
      <c r="J5" s="85">
        <f>(References!$C$49*I5)</f>
        <v>2437.4760394125628</v>
      </c>
      <c r="K5" s="85">
        <f>J5/References!$G$52</f>
        <v>2499.3665254458961</v>
      </c>
      <c r="L5" s="85">
        <f t="shared" si="2"/>
        <v>0.23014424727862762</v>
      </c>
      <c r="M5" s="66">
        <v>11.23</v>
      </c>
      <c r="N5" s="86">
        <f t="shared" si="9"/>
        <v>11.460144247278627</v>
      </c>
      <c r="O5" s="87">
        <f t="shared" si="3"/>
        <v>121957.79999999999</v>
      </c>
      <c r="P5" s="88">
        <f t="shared" si="4"/>
        <v>11.460144247278627</v>
      </c>
      <c r="Q5" s="88">
        <f t="shared" si="7"/>
        <v>124457.16652544588</v>
      </c>
      <c r="R5" s="88">
        <f t="shared" si="5"/>
        <v>2499.3665254458901</v>
      </c>
      <c r="T5" s="163">
        <f t="shared" si="8"/>
        <v>2.0493699668622245E-2</v>
      </c>
    </row>
    <row r="6" spans="1:20" x14ac:dyDescent="0.2">
      <c r="A6" s="167"/>
      <c r="B6" s="81">
        <v>22</v>
      </c>
      <c r="C6" s="80" t="s">
        <v>103</v>
      </c>
      <c r="D6" s="82">
        <v>3866</v>
      </c>
      <c r="E6" s="83">
        <f>References!$B$7</f>
        <v>4.333333333333333</v>
      </c>
      <c r="F6" s="82">
        <f t="shared" si="0"/>
        <v>201031.99999999997</v>
      </c>
      <c r="G6" s="65">
        <f>References!B14</f>
        <v>34</v>
      </c>
      <c r="H6" s="82">
        <f t="shared" si="6"/>
        <v>6835087.9999999991</v>
      </c>
      <c r="I6" s="84">
        <f t="shared" si="1"/>
        <v>5682566.0992443552</v>
      </c>
      <c r="J6" s="85">
        <f>(References!$C$49*I6)</f>
        <v>17701.193399146126</v>
      </c>
      <c r="K6" s="85">
        <f>J6/References!$G$52</f>
        <v>18150.648263575156</v>
      </c>
      <c r="L6" s="85">
        <f t="shared" si="2"/>
        <v>0.39124522037366694</v>
      </c>
      <c r="M6" s="66">
        <v>18.8</v>
      </c>
      <c r="N6" s="86">
        <f t="shared" si="9"/>
        <v>19.191245220373666</v>
      </c>
      <c r="O6" s="87">
        <f t="shared" si="3"/>
        <v>872169.60000000009</v>
      </c>
      <c r="P6" s="88">
        <f t="shared" si="4"/>
        <v>19.191245220373666</v>
      </c>
      <c r="Q6" s="88">
        <f t="shared" si="7"/>
        <v>890320.24826357514</v>
      </c>
      <c r="R6" s="88">
        <f t="shared" si="5"/>
        <v>18150.648263575044</v>
      </c>
      <c r="T6" s="163">
        <f t="shared" si="8"/>
        <v>2.0810915977322653E-2</v>
      </c>
    </row>
    <row r="7" spans="1:20" x14ac:dyDescent="0.2">
      <c r="A7" s="167"/>
      <c r="B7" s="81">
        <v>22</v>
      </c>
      <c r="C7" s="80" t="s">
        <v>104</v>
      </c>
      <c r="D7" s="82">
        <v>335</v>
      </c>
      <c r="E7" s="83">
        <f>References!$B$7</f>
        <v>4.333333333333333</v>
      </c>
      <c r="F7" s="82">
        <f t="shared" si="0"/>
        <v>17420</v>
      </c>
      <c r="G7" s="65">
        <f>References!B15</f>
        <v>51</v>
      </c>
      <c r="H7" s="82">
        <f t="shared" si="6"/>
        <v>888420</v>
      </c>
      <c r="I7" s="84">
        <f t="shared" si="1"/>
        <v>738616.00229443586</v>
      </c>
      <c r="J7" s="85">
        <f>(References!$C$49*I7)</f>
        <v>2300.7888471471624</v>
      </c>
      <c r="K7" s="85">
        <f>J7/References!$G$52</f>
        <v>2359.2086788532119</v>
      </c>
      <c r="L7" s="85">
        <f t="shared" si="2"/>
        <v>0.58686783056050051</v>
      </c>
      <c r="M7" s="66">
        <v>28.66</v>
      </c>
      <c r="N7" s="86">
        <f t="shared" si="9"/>
        <v>29.2468678305605</v>
      </c>
      <c r="O7" s="87">
        <f t="shared" si="3"/>
        <v>115213.20000000001</v>
      </c>
      <c r="P7" s="88">
        <f t="shared" si="4"/>
        <v>29.2468678305605</v>
      </c>
      <c r="Q7" s="88">
        <f t="shared" si="7"/>
        <v>117572.40867885321</v>
      </c>
      <c r="R7" s="88">
        <f t="shared" si="5"/>
        <v>2359.2086788532033</v>
      </c>
      <c r="T7" s="163">
        <f t="shared" si="8"/>
        <v>2.0476895692969288E-2</v>
      </c>
    </row>
    <row r="8" spans="1:20" x14ac:dyDescent="0.2">
      <c r="A8" s="167"/>
      <c r="B8" s="81">
        <v>22</v>
      </c>
      <c r="C8" s="80" t="s">
        <v>105</v>
      </c>
      <c r="D8" s="82">
        <v>14</v>
      </c>
      <c r="E8" s="83">
        <f>References!$B$7</f>
        <v>4.333333333333333</v>
      </c>
      <c r="F8" s="82">
        <f t="shared" si="0"/>
        <v>728</v>
      </c>
      <c r="G8" s="65">
        <f>References!B16</f>
        <v>77</v>
      </c>
      <c r="H8" s="82">
        <f t="shared" si="6"/>
        <v>56056</v>
      </c>
      <c r="I8" s="84">
        <f t="shared" si="1"/>
        <v>46603.924522879825</v>
      </c>
      <c r="J8" s="85">
        <f>(References!$C$49*I8)</f>
        <v>145.17122488877033</v>
      </c>
      <c r="K8" s="85">
        <f>J8/References!$G$52</f>
        <v>148.85729913981638</v>
      </c>
      <c r="L8" s="85">
        <f t="shared" si="2"/>
        <v>0.88605535202271646</v>
      </c>
      <c r="M8" s="66">
        <v>38.75</v>
      </c>
      <c r="N8" s="86">
        <f t="shared" si="9"/>
        <v>39.636055352022716</v>
      </c>
      <c r="O8" s="87">
        <f t="shared" si="3"/>
        <v>6510</v>
      </c>
      <c r="P8" s="88">
        <f t="shared" si="4"/>
        <v>39.636055352022716</v>
      </c>
      <c r="Q8" s="88">
        <f t="shared" si="7"/>
        <v>6658.857299139816</v>
      </c>
      <c r="R8" s="88">
        <f t="shared" si="5"/>
        <v>148.85729913981595</v>
      </c>
      <c r="T8" s="163">
        <f t="shared" si="8"/>
        <v>2.2865944568328134E-2</v>
      </c>
    </row>
    <row r="9" spans="1:20" x14ac:dyDescent="0.2">
      <c r="A9" s="167"/>
      <c r="B9" s="81">
        <v>22</v>
      </c>
      <c r="C9" s="80" t="s">
        <v>106</v>
      </c>
      <c r="D9" s="82">
        <v>6</v>
      </c>
      <c r="E9" s="83">
        <f>References!$B$7</f>
        <v>4.333333333333333</v>
      </c>
      <c r="F9" s="82">
        <f t="shared" si="0"/>
        <v>312</v>
      </c>
      <c r="G9" s="65">
        <f>References!B17</f>
        <v>97</v>
      </c>
      <c r="H9" s="82">
        <f t="shared" si="6"/>
        <v>30264</v>
      </c>
      <c r="I9" s="84">
        <f t="shared" si="1"/>
        <v>25160.931421443467</v>
      </c>
      <c r="J9" s="85">
        <f>(References!$C$49*I9)</f>
        <v>78.376301377796224</v>
      </c>
      <c r="K9" s="85">
        <f>J9/References!$G$52</f>
        <v>80.366371149696775</v>
      </c>
      <c r="L9" s="85">
        <f t="shared" si="2"/>
        <v>1.116199599301344</v>
      </c>
      <c r="M9" s="66">
        <v>48.68</v>
      </c>
      <c r="N9" s="86">
        <f t="shared" si="9"/>
        <v>49.796199599301346</v>
      </c>
      <c r="O9" s="87">
        <f t="shared" si="3"/>
        <v>3504.96</v>
      </c>
      <c r="P9" s="88">
        <f t="shared" si="4"/>
        <v>49.796199599301346</v>
      </c>
      <c r="Q9" s="88">
        <f t="shared" si="7"/>
        <v>3585.3263711496966</v>
      </c>
      <c r="R9" s="88">
        <f t="shared" si="5"/>
        <v>80.366371149696533</v>
      </c>
      <c r="T9" s="163">
        <f t="shared" si="8"/>
        <v>2.2929326197644651E-2</v>
      </c>
    </row>
    <row r="10" spans="1:20" x14ac:dyDescent="0.2">
      <c r="A10" s="167"/>
      <c r="B10" s="81">
        <v>22</v>
      </c>
      <c r="C10" s="80" t="s">
        <v>107</v>
      </c>
      <c r="D10" s="82">
        <v>1646</v>
      </c>
      <c r="E10" s="83">
        <f>References!$B$7</f>
        <v>4.333333333333333</v>
      </c>
      <c r="F10" s="82">
        <f t="shared" si="0"/>
        <v>85592</v>
      </c>
      <c r="G10" s="65">
        <f>References!B13</f>
        <v>20</v>
      </c>
      <c r="H10" s="82">
        <f t="shared" si="6"/>
        <v>1711840</v>
      </c>
      <c r="I10" s="84">
        <f t="shared" si="1"/>
        <v>1423192.2034259776</v>
      </c>
      <c r="J10" s="85">
        <f>(References!$C$49*I10)</f>
        <v>4433.24371367191</v>
      </c>
      <c r="K10" s="85">
        <f>J10/References!$G$52</f>
        <v>4545.8091722474528</v>
      </c>
      <c r="L10" s="85">
        <f t="shared" si="2"/>
        <v>0.23014424727862762</v>
      </c>
      <c r="M10" s="66">
        <v>13.33</v>
      </c>
      <c r="N10" s="86">
        <f t="shared" si="9"/>
        <v>13.560144247278627</v>
      </c>
      <c r="O10" s="87">
        <f t="shared" si="3"/>
        <v>263294.16000000003</v>
      </c>
      <c r="P10" s="88">
        <f t="shared" si="4"/>
        <v>13.560144247278627</v>
      </c>
      <c r="Q10" s="88">
        <f t="shared" si="7"/>
        <v>267839.96917224745</v>
      </c>
      <c r="R10" s="88">
        <f t="shared" si="5"/>
        <v>4545.8091722474201</v>
      </c>
      <c r="T10" s="163">
        <f t="shared" si="8"/>
        <v>1.7265134829604456E-2</v>
      </c>
    </row>
    <row r="11" spans="1:20" x14ac:dyDescent="0.2">
      <c r="A11" s="89"/>
      <c r="B11" s="81">
        <v>22</v>
      </c>
      <c r="C11" s="80" t="s">
        <v>108</v>
      </c>
      <c r="D11" s="82">
        <v>4999</v>
      </c>
      <c r="E11" s="83">
        <f>References!$B$7</f>
        <v>4.333333333333333</v>
      </c>
      <c r="F11" s="82">
        <f t="shared" ref="F11:F13" si="10">D11*E11*12</f>
        <v>259948</v>
      </c>
      <c r="G11" s="65">
        <f>References!B20</f>
        <v>37</v>
      </c>
      <c r="H11" s="82">
        <f t="shared" ref="H11:H13" si="11">G11*F11</f>
        <v>9618076</v>
      </c>
      <c r="I11" s="84">
        <f t="shared" si="1"/>
        <v>7996290.993993897</v>
      </c>
      <c r="J11" s="85">
        <f>(References!$C$49*I11)</f>
        <v>24908.446446290931</v>
      </c>
      <c r="K11" s="85">
        <f>J11/References!$G$52</f>
        <v>25540.902245638081</v>
      </c>
      <c r="L11" s="85">
        <f t="shared" ref="L11:L13" si="12">(K11/F11)*E11</f>
        <v>0.42576685746546111</v>
      </c>
      <c r="M11" s="66">
        <v>20.68</v>
      </c>
      <c r="N11" s="86">
        <f t="shared" si="9"/>
        <v>21.105766857465461</v>
      </c>
      <c r="O11" s="87">
        <f t="shared" si="3"/>
        <v>1240551.8399999999</v>
      </c>
      <c r="P11" s="88">
        <f t="shared" si="4"/>
        <v>21.105766857465461</v>
      </c>
      <c r="Q11" s="88">
        <f t="shared" si="7"/>
        <v>1266092.742245638</v>
      </c>
      <c r="R11" s="88">
        <f t="shared" si="5"/>
        <v>25540.902245638194</v>
      </c>
      <c r="T11" s="163">
        <f t="shared" si="8"/>
        <v>2.0588339335854133E-2</v>
      </c>
    </row>
    <row r="12" spans="1:20" x14ac:dyDescent="0.2">
      <c r="A12" s="89"/>
      <c r="B12" s="81">
        <v>22</v>
      </c>
      <c r="C12" s="80" t="s">
        <v>109</v>
      </c>
      <c r="D12" s="82">
        <v>2943</v>
      </c>
      <c r="E12" s="83">
        <f>References!$B$7</f>
        <v>4.333333333333333</v>
      </c>
      <c r="F12" s="82">
        <f t="shared" si="10"/>
        <v>153036</v>
      </c>
      <c r="G12" s="65">
        <f>References!B21</f>
        <v>47</v>
      </c>
      <c r="H12" s="82">
        <f t="shared" si="11"/>
        <v>7192692</v>
      </c>
      <c r="I12" s="84">
        <f t="shared" si="1"/>
        <v>5979871.4693221338</v>
      </c>
      <c r="J12" s="85">
        <f>(References!$C$49*I12)</f>
        <v>18627.299626938402</v>
      </c>
      <c r="K12" s="85">
        <f>J12/References!$G$52</f>
        <v>19100.269456696231</v>
      </c>
      <c r="L12" s="85">
        <f t="shared" si="12"/>
        <v>0.54083898110477491</v>
      </c>
      <c r="M12" s="66">
        <v>30.35</v>
      </c>
      <c r="N12" s="86">
        <f t="shared" si="9"/>
        <v>30.890838981104775</v>
      </c>
      <c r="O12" s="87">
        <f t="shared" si="3"/>
        <v>1071840.6000000001</v>
      </c>
      <c r="P12" s="88">
        <f t="shared" si="4"/>
        <v>30.890838981104775</v>
      </c>
      <c r="Q12" s="88">
        <f t="shared" si="7"/>
        <v>1090940.8694566963</v>
      </c>
      <c r="R12" s="88">
        <f t="shared" si="5"/>
        <v>19100.269456696231</v>
      </c>
      <c r="T12" s="163">
        <f t="shared" si="8"/>
        <v>1.7820065275280905E-2</v>
      </c>
    </row>
    <row r="13" spans="1:20" x14ac:dyDescent="0.2">
      <c r="A13" s="89"/>
      <c r="B13" s="81">
        <v>22</v>
      </c>
      <c r="C13" s="80" t="s">
        <v>110</v>
      </c>
      <c r="D13" s="82">
        <v>617</v>
      </c>
      <c r="E13" s="83">
        <f>References!$B$7</f>
        <v>4.333333333333333</v>
      </c>
      <c r="F13" s="82">
        <f t="shared" si="10"/>
        <v>32084</v>
      </c>
      <c r="G13" s="65">
        <f>References!B22</f>
        <v>68</v>
      </c>
      <c r="H13" s="82">
        <f t="shared" si="11"/>
        <v>2181712</v>
      </c>
      <c r="I13" s="84">
        <f t="shared" si="1"/>
        <v>1813835.118072306</v>
      </c>
      <c r="J13" s="85">
        <f>(References!$C$49*I13)</f>
        <v>5650.0963927952198</v>
      </c>
      <c r="K13" s="85">
        <f>J13/References!$G$52</f>
        <v>5793.5592232932604</v>
      </c>
      <c r="L13" s="85">
        <f t="shared" si="12"/>
        <v>0.78249044074733387</v>
      </c>
      <c r="M13" s="66">
        <v>41.61</v>
      </c>
      <c r="N13" s="86">
        <f t="shared" si="9"/>
        <v>42.392490440747331</v>
      </c>
      <c r="O13" s="87">
        <f t="shared" si="3"/>
        <v>308080.44</v>
      </c>
      <c r="P13" s="88">
        <f t="shared" si="4"/>
        <v>42.392490440747331</v>
      </c>
      <c r="Q13" s="88">
        <f t="shared" si="7"/>
        <v>313873.99922329321</v>
      </c>
      <c r="R13" s="88">
        <f t="shared" si="5"/>
        <v>5793.5592232932104</v>
      </c>
      <c r="T13" s="163">
        <f t="shared" si="8"/>
        <v>1.8805345848289523E-2</v>
      </c>
    </row>
    <row r="14" spans="1:20" x14ac:dyDescent="0.2">
      <c r="A14" s="89"/>
      <c r="B14" s="81">
        <v>23</v>
      </c>
      <c r="C14" s="80" t="s">
        <v>111</v>
      </c>
      <c r="D14" s="82">
        <v>2512</v>
      </c>
      <c r="E14" s="83">
        <f>References!$B$9</f>
        <v>1</v>
      </c>
      <c r="F14" s="82">
        <f t="shared" si="0"/>
        <v>30144</v>
      </c>
      <c r="G14" s="65">
        <f>References!B24</f>
        <v>34</v>
      </c>
      <c r="H14" s="82">
        <f t="shared" si="6"/>
        <v>1024896</v>
      </c>
      <c r="I14" s="84">
        <f t="shared" si="1"/>
        <v>852079.63157916092</v>
      </c>
      <c r="J14" s="85">
        <f>(References!$C$49*I14)</f>
        <v>2654.2280523690802</v>
      </c>
      <c r="K14" s="85">
        <f>J14/References!$G$52</f>
        <v>2721.6221360639584</v>
      </c>
      <c r="L14" s="85">
        <f t="shared" si="2"/>
        <v>9.0287358547769314E-2</v>
      </c>
      <c r="M14" s="66">
        <v>5.21</v>
      </c>
      <c r="N14" s="86">
        <f t="shared" si="9"/>
        <v>5.3002873585477692</v>
      </c>
      <c r="O14" s="87">
        <f t="shared" si="3"/>
        <v>157050.23999999999</v>
      </c>
      <c r="P14" s="88">
        <f t="shared" si="4"/>
        <v>5.3002873585477692</v>
      </c>
      <c r="Q14" s="88">
        <f t="shared" si="7"/>
        <v>159771.86213606395</v>
      </c>
      <c r="R14" s="88">
        <f t="shared" si="5"/>
        <v>2721.6221360639611</v>
      </c>
      <c r="T14" s="163">
        <f t="shared" si="8"/>
        <v>1.7329627360416433E-2</v>
      </c>
    </row>
    <row r="15" spans="1:20" x14ac:dyDescent="0.2">
      <c r="A15" s="90"/>
      <c r="B15" s="91"/>
      <c r="C15" s="92" t="s">
        <v>31</v>
      </c>
      <c r="D15" s="93">
        <f>SUM(D2:D14)</f>
        <v>18159</v>
      </c>
      <c r="E15" s="94"/>
      <c r="F15" s="95">
        <f>SUM(F2:F14)</f>
        <v>833548</v>
      </c>
      <c r="G15" s="96"/>
      <c r="H15" s="97">
        <f>SUM(H2:H14)</f>
        <v>30609004</v>
      </c>
      <c r="I15" s="98">
        <f>SUM(I2:I14)</f>
        <v>25447761.383911207</v>
      </c>
      <c r="J15" s="91"/>
      <c r="K15" s="91"/>
      <c r="L15" s="91"/>
      <c r="M15" s="91"/>
      <c r="N15" s="91"/>
      <c r="O15" s="99">
        <f>SUM(O2:O14)</f>
        <v>4193454.4799999995</v>
      </c>
      <c r="P15" s="100"/>
      <c r="Q15" s="100">
        <f>SUM(Q2:Q14)</f>
        <v>4274737.0129099442</v>
      </c>
      <c r="R15" s="100">
        <f>SUM(R2:R14)</f>
        <v>81282.532909944159</v>
      </c>
      <c r="T15" s="163"/>
    </row>
    <row r="16" spans="1:20" ht="15" customHeight="1" x14ac:dyDescent="0.2">
      <c r="A16" s="168" t="s">
        <v>15</v>
      </c>
      <c r="B16" s="81" t="s">
        <v>168</v>
      </c>
      <c r="C16" s="80" t="s">
        <v>136</v>
      </c>
      <c r="D16" s="101"/>
      <c r="E16" s="101"/>
      <c r="F16" s="67">
        <v>11284</v>
      </c>
      <c r="G16" s="65">
        <f>References!B13</f>
        <v>20</v>
      </c>
      <c r="H16" s="68">
        <f>F16*G16</f>
        <v>225680</v>
      </c>
      <c r="I16" s="84">
        <f t="shared" ref="I16:I32" si="13">$C$81*H16</f>
        <v>187626.18963756814</v>
      </c>
      <c r="J16" s="85">
        <f>References!$C$49*I16</f>
        <v>584.45558072102335</v>
      </c>
      <c r="K16" s="85">
        <f>J16/References!$G$52</f>
        <v>599.29561991354637</v>
      </c>
      <c r="L16" s="85">
        <f>K16/F16</f>
        <v>5.3110210910452531E-2</v>
      </c>
      <c r="M16" s="162">
        <v>4.5199999999999996</v>
      </c>
      <c r="N16" s="86">
        <f>L16+M16</f>
        <v>4.5731102109104524</v>
      </c>
      <c r="O16" s="87">
        <f t="shared" ref="O16:O32" si="14">F16*M16</f>
        <v>51003.679999999993</v>
      </c>
      <c r="P16" s="88">
        <f t="shared" ref="P16:P32" si="15">N16</f>
        <v>4.5731102109104524</v>
      </c>
      <c r="Q16" s="88">
        <f>F16*N16</f>
        <v>51602.975619913545</v>
      </c>
      <c r="R16" s="88">
        <f t="shared" ref="R16:R32" si="16">Q16-O16</f>
        <v>599.29561991355149</v>
      </c>
      <c r="T16" s="163">
        <f t="shared" si="8"/>
        <v>1.1750046661604729E-2</v>
      </c>
    </row>
    <row r="17" spans="1:20" x14ac:dyDescent="0.2">
      <c r="A17" s="167"/>
      <c r="B17" s="81" t="s">
        <v>171</v>
      </c>
      <c r="C17" s="102" t="s">
        <v>112</v>
      </c>
      <c r="D17" s="101"/>
      <c r="E17" s="101"/>
      <c r="F17" s="67">
        <v>15340</v>
      </c>
      <c r="G17" s="65">
        <f>References!B26</f>
        <v>29</v>
      </c>
      <c r="H17" s="68">
        <f t="shared" ref="H17:H31" si="17">F17*G17</f>
        <v>444860</v>
      </c>
      <c r="I17" s="84">
        <f t="shared" si="13"/>
        <v>369848.39915884688</v>
      </c>
      <c r="J17" s="85">
        <f>References!$C$49*I17</f>
        <v>1152.0777633798054</v>
      </c>
      <c r="K17" s="85">
        <f>J17/References!$G$52</f>
        <v>1181.3304212811959</v>
      </c>
      <c r="L17" s="85">
        <f t="shared" ref="L17:L31" si="18">K17/F17</f>
        <v>7.700980582015618E-2</v>
      </c>
      <c r="M17" s="66">
        <v>4.78</v>
      </c>
      <c r="N17" s="86">
        <f t="shared" ref="N17:N32" si="19">L17+M17</f>
        <v>4.8570098058201561</v>
      </c>
      <c r="O17" s="87">
        <f t="shared" si="14"/>
        <v>73325.2</v>
      </c>
      <c r="P17" s="88">
        <f t="shared" si="15"/>
        <v>4.8570098058201561</v>
      </c>
      <c r="Q17" s="88">
        <f t="shared" ref="Q17:Q32" si="20">F17*N17</f>
        <v>74506.53042128119</v>
      </c>
      <c r="R17" s="88">
        <f t="shared" si="16"/>
        <v>1181.3304212811927</v>
      </c>
      <c r="T17" s="163">
        <f t="shared" si="8"/>
        <v>1.6110838037689534E-2</v>
      </c>
    </row>
    <row r="18" spans="1:20" x14ac:dyDescent="0.2">
      <c r="A18" s="167"/>
      <c r="B18" s="81" t="s">
        <v>172</v>
      </c>
      <c r="C18" s="102" t="s">
        <v>113</v>
      </c>
      <c r="D18" s="101"/>
      <c r="E18" s="101"/>
      <c r="F18" s="67">
        <v>2859.9999999999995</v>
      </c>
      <c r="G18" s="65">
        <f>References!B20</f>
        <v>37</v>
      </c>
      <c r="H18" s="68">
        <f>F18*G18</f>
        <v>105819.99999999999</v>
      </c>
      <c r="I18" s="84">
        <f t="shared" si="13"/>
        <v>87976.796293191495</v>
      </c>
      <c r="J18" s="85">
        <f>References!$C$49*I18</f>
        <v>274.04772045329088</v>
      </c>
      <c r="K18" s="85">
        <f>J18/References!$G$52</f>
        <v>281.00612592720432</v>
      </c>
      <c r="L18" s="85">
        <f>K18/F18</f>
        <v>9.8253890184337195E-2</v>
      </c>
      <c r="M18" s="66">
        <v>4.93</v>
      </c>
      <c r="N18" s="86">
        <f t="shared" si="19"/>
        <v>5.0282538901843372</v>
      </c>
      <c r="O18" s="87">
        <f t="shared" si="14"/>
        <v>14099.799999999997</v>
      </c>
      <c r="P18" s="88">
        <f t="shared" si="15"/>
        <v>5.0282538901843372</v>
      </c>
      <c r="Q18" s="88">
        <f t="shared" si="20"/>
        <v>14380.806125927202</v>
      </c>
      <c r="R18" s="88">
        <f t="shared" si="16"/>
        <v>281.00612592720427</v>
      </c>
      <c r="T18" s="163">
        <f t="shared" si="8"/>
        <v>1.9929795169236764E-2</v>
      </c>
    </row>
    <row r="19" spans="1:20" x14ac:dyDescent="0.2">
      <c r="A19" s="167"/>
      <c r="B19" s="81" t="s">
        <v>172</v>
      </c>
      <c r="C19" s="102" t="s">
        <v>114</v>
      </c>
      <c r="D19" s="101"/>
      <c r="E19" s="101"/>
      <c r="F19" s="67">
        <v>2262</v>
      </c>
      <c r="G19" s="65">
        <f>References!B21</f>
        <v>47</v>
      </c>
      <c r="H19" s="68">
        <f t="shared" si="17"/>
        <v>106314</v>
      </c>
      <c r="I19" s="84">
        <f t="shared" si="13"/>
        <v>88387.498782029506</v>
      </c>
      <c r="J19" s="85">
        <f>References!$C$49*I19</f>
        <v>275.32705870602126</v>
      </c>
      <c r="K19" s="85">
        <f>J19/References!$G$52</f>
        <v>282.31794813669251</v>
      </c>
      <c r="L19" s="85">
        <f t="shared" si="18"/>
        <v>0.12480899563956344</v>
      </c>
      <c r="M19" s="66">
        <v>7.99</v>
      </c>
      <c r="N19" s="86">
        <f t="shared" si="19"/>
        <v>8.1148089956395637</v>
      </c>
      <c r="O19" s="87">
        <f t="shared" si="14"/>
        <v>18073.38</v>
      </c>
      <c r="P19" s="88">
        <f t="shared" si="15"/>
        <v>8.1148089956395637</v>
      </c>
      <c r="Q19" s="88">
        <f t="shared" si="20"/>
        <v>18355.697948136694</v>
      </c>
      <c r="R19" s="88">
        <f t="shared" si="16"/>
        <v>282.3179481366933</v>
      </c>
      <c r="T19" s="163">
        <f t="shared" si="8"/>
        <v>1.5620650267780256E-2</v>
      </c>
    </row>
    <row r="20" spans="1:20" x14ac:dyDescent="0.2">
      <c r="A20" s="167"/>
      <c r="B20" s="81" t="s">
        <v>172</v>
      </c>
      <c r="C20" s="102" t="s">
        <v>115</v>
      </c>
      <c r="D20" s="101"/>
      <c r="E20" s="101"/>
      <c r="F20" s="67">
        <v>6810</v>
      </c>
      <c r="G20" s="65">
        <f>References!B22</f>
        <v>68</v>
      </c>
      <c r="H20" s="68">
        <f t="shared" si="17"/>
        <v>463080</v>
      </c>
      <c r="I20" s="84">
        <f t="shared" si="13"/>
        <v>384996.17111558426</v>
      </c>
      <c r="J20" s="85">
        <f>References!$C$49*I20</f>
        <v>1199.2630730250421</v>
      </c>
      <c r="K20" s="85">
        <f>J20/References!$G$52</f>
        <v>1229.7138234206179</v>
      </c>
      <c r="L20" s="85">
        <f t="shared" si="18"/>
        <v>0.1805747170955386</v>
      </c>
      <c r="M20" s="66">
        <v>10.32</v>
      </c>
      <c r="N20" s="86">
        <f t="shared" si="19"/>
        <v>10.500574717095539</v>
      </c>
      <c r="O20" s="87">
        <f t="shared" si="14"/>
        <v>70279.199999999997</v>
      </c>
      <c r="P20" s="88">
        <f t="shared" si="15"/>
        <v>10.500574717095539</v>
      </c>
      <c r="Q20" s="88">
        <f t="shared" si="20"/>
        <v>71508.913823420618</v>
      </c>
      <c r="R20" s="88">
        <f t="shared" si="16"/>
        <v>1229.7138234206213</v>
      </c>
      <c r="T20" s="163">
        <f t="shared" si="8"/>
        <v>1.7497550106156723E-2</v>
      </c>
    </row>
    <row r="21" spans="1:20" x14ac:dyDescent="0.2">
      <c r="A21" s="167"/>
      <c r="B21" s="81" t="s">
        <v>170</v>
      </c>
      <c r="C21" s="102" t="s">
        <v>116</v>
      </c>
      <c r="D21" s="101"/>
      <c r="E21" s="101"/>
      <c r="F21" s="67">
        <v>9304</v>
      </c>
      <c r="G21" s="65">
        <f>References!B27</f>
        <v>175</v>
      </c>
      <c r="H21" s="68">
        <f t="shared" si="17"/>
        <v>1628200</v>
      </c>
      <c r="I21" s="84">
        <f t="shared" si="13"/>
        <v>1353655.4500526784</v>
      </c>
      <c r="J21" s="85">
        <f>References!$C$49*I21</f>
        <v>4216.6367269140837</v>
      </c>
      <c r="K21" s="85">
        <f>J21/References!$G$52</f>
        <v>4323.7022702199411</v>
      </c>
      <c r="L21" s="85">
        <f t="shared" si="18"/>
        <v>0.46471434546645968</v>
      </c>
      <c r="M21" s="66">
        <v>19.37</v>
      </c>
      <c r="N21" s="86">
        <f t="shared" si="19"/>
        <v>19.834714345466459</v>
      </c>
      <c r="O21" s="87">
        <f t="shared" si="14"/>
        <v>180218.48</v>
      </c>
      <c r="P21" s="88">
        <f t="shared" si="15"/>
        <v>19.834714345466459</v>
      </c>
      <c r="Q21" s="88">
        <f t="shared" si="20"/>
        <v>184542.18227021993</v>
      </c>
      <c r="R21" s="88">
        <f t="shared" si="16"/>
        <v>4323.7022702199174</v>
      </c>
      <c r="T21" s="163">
        <f t="shared" si="8"/>
        <v>2.399144788159302E-2</v>
      </c>
    </row>
    <row r="22" spans="1:20" x14ac:dyDescent="0.2">
      <c r="A22" s="167"/>
      <c r="B22" s="81" t="s">
        <v>170</v>
      </c>
      <c r="C22" s="102" t="s">
        <v>117</v>
      </c>
      <c r="D22" s="101"/>
      <c r="E22" s="101"/>
      <c r="F22" s="67">
        <v>4146</v>
      </c>
      <c r="G22" s="65">
        <f>References!B28</f>
        <v>250</v>
      </c>
      <c r="H22" s="68">
        <f t="shared" si="17"/>
        <v>1036500</v>
      </c>
      <c r="I22" s="84">
        <f t="shared" si="13"/>
        <v>861726.983159072</v>
      </c>
      <c r="J22" s="85">
        <f>References!$C$49*I22</f>
        <v>2684.2795525405031</v>
      </c>
      <c r="K22" s="85">
        <f>J22/References!$G$52</f>
        <v>2752.4366804342026</v>
      </c>
      <c r="L22" s="85">
        <f t="shared" si="18"/>
        <v>0.66387763638065667</v>
      </c>
      <c r="M22" s="66">
        <v>27.24</v>
      </c>
      <c r="N22" s="86">
        <f t="shared" si="19"/>
        <v>27.903877636380656</v>
      </c>
      <c r="O22" s="87">
        <f t="shared" si="14"/>
        <v>112937.04</v>
      </c>
      <c r="P22" s="88">
        <f t="shared" si="15"/>
        <v>27.903877636380656</v>
      </c>
      <c r="Q22" s="88">
        <f t="shared" si="20"/>
        <v>115689.47668043421</v>
      </c>
      <c r="R22" s="88">
        <f t="shared" si="16"/>
        <v>2752.4366804342135</v>
      </c>
      <c r="T22" s="163">
        <f t="shared" si="8"/>
        <v>2.437142571147799E-2</v>
      </c>
    </row>
    <row r="23" spans="1:20" x14ac:dyDescent="0.2">
      <c r="A23" s="167"/>
      <c r="B23" s="81" t="s">
        <v>170</v>
      </c>
      <c r="C23" s="102" t="s">
        <v>118</v>
      </c>
      <c r="D23" s="101"/>
      <c r="E23" s="101"/>
      <c r="F23" s="67">
        <v>7810</v>
      </c>
      <c r="G23" s="65">
        <f>References!B29</f>
        <v>324</v>
      </c>
      <c r="H23" s="68">
        <f t="shared" si="17"/>
        <v>2530440</v>
      </c>
      <c r="I23" s="84">
        <f t="shared" si="13"/>
        <v>2103761.1454559015</v>
      </c>
      <c r="J23" s="85">
        <f>References!$C$49*I23</f>
        <v>6553.2159680951181</v>
      </c>
      <c r="K23" s="85">
        <f>J23/References!$G$52</f>
        <v>6719.6101048122746</v>
      </c>
      <c r="L23" s="85">
        <f t="shared" si="18"/>
        <v>0.86038541674933089</v>
      </c>
      <c r="M23" s="66">
        <v>34.29</v>
      </c>
      <c r="N23" s="86">
        <f t="shared" si="19"/>
        <v>35.15038541674933</v>
      </c>
      <c r="O23" s="87">
        <f t="shared" si="14"/>
        <v>267804.89999999997</v>
      </c>
      <c r="P23" s="88">
        <f t="shared" si="15"/>
        <v>35.15038541674933</v>
      </c>
      <c r="Q23" s="88">
        <f t="shared" si="20"/>
        <v>274524.51010481227</v>
      </c>
      <c r="R23" s="88">
        <f t="shared" si="16"/>
        <v>6719.6101048123091</v>
      </c>
      <c r="T23" s="163">
        <f t="shared" si="8"/>
        <v>2.5091438225410601E-2</v>
      </c>
    </row>
    <row r="24" spans="1:20" x14ac:dyDescent="0.2">
      <c r="A24" s="167"/>
      <c r="B24" s="81" t="s">
        <v>170</v>
      </c>
      <c r="C24" s="102" t="s">
        <v>119</v>
      </c>
      <c r="D24" s="101"/>
      <c r="E24" s="101"/>
      <c r="F24" s="67">
        <v>7304</v>
      </c>
      <c r="G24" s="65">
        <f>References!B30</f>
        <v>473</v>
      </c>
      <c r="H24" s="68">
        <f t="shared" si="17"/>
        <v>3454792</v>
      </c>
      <c r="I24" s="84">
        <f t="shared" si="13"/>
        <v>2872250.3498331853</v>
      </c>
      <c r="J24" s="85">
        <f>References!$C$49*I24</f>
        <v>8947.0598397303511</v>
      </c>
      <c r="K24" s="85">
        <f>J24/References!$G$52</f>
        <v>9174.2365885872059</v>
      </c>
      <c r="L24" s="85">
        <f t="shared" si="18"/>
        <v>1.2560564880322023</v>
      </c>
      <c r="M24" s="66">
        <v>51.3</v>
      </c>
      <c r="N24" s="86">
        <f t="shared" si="19"/>
        <v>52.556056488032198</v>
      </c>
      <c r="O24" s="87">
        <f t="shared" si="14"/>
        <v>374695.19999999995</v>
      </c>
      <c r="P24" s="88">
        <f t="shared" si="15"/>
        <v>52.556056488032198</v>
      </c>
      <c r="Q24" s="88">
        <f t="shared" si="20"/>
        <v>383869.43658858718</v>
      </c>
      <c r="R24" s="88">
        <f t="shared" si="16"/>
        <v>9174.2365885872277</v>
      </c>
      <c r="T24" s="163">
        <f t="shared" si="8"/>
        <v>2.4484531930452302E-2</v>
      </c>
    </row>
    <row r="25" spans="1:20" x14ac:dyDescent="0.2">
      <c r="A25" s="167"/>
      <c r="B25" s="81" t="s">
        <v>170</v>
      </c>
      <c r="C25" s="102" t="s">
        <v>137</v>
      </c>
      <c r="D25" s="101"/>
      <c r="E25" s="101"/>
      <c r="F25" s="67">
        <v>24</v>
      </c>
      <c r="G25" s="65">
        <f>References!B30</f>
        <v>473</v>
      </c>
      <c r="H25" s="68">
        <f t="shared" ref="H25" si="21">F25*G25</f>
        <v>11352</v>
      </c>
      <c r="I25" s="84">
        <f t="shared" si="13"/>
        <v>9437.843427710357</v>
      </c>
      <c r="J25" s="85">
        <f>References!$C$49*I25</f>
        <v>29.398882277317693</v>
      </c>
      <c r="K25" s="85">
        <f>J25/References!$G$52</f>
        <v>30.145355712772854</v>
      </c>
      <c r="L25" s="85">
        <f t="shared" ref="L25" si="22">K25/F25</f>
        <v>1.2560564880322023</v>
      </c>
      <c r="M25" s="66">
        <v>64.8</v>
      </c>
      <c r="N25" s="86">
        <f t="shared" si="19"/>
        <v>66.056056488032198</v>
      </c>
      <c r="O25" s="87">
        <f t="shared" si="14"/>
        <v>1555.1999999999998</v>
      </c>
      <c r="P25" s="88">
        <f t="shared" si="15"/>
        <v>66.056056488032198</v>
      </c>
      <c r="Q25" s="88">
        <f t="shared" si="20"/>
        <v>1585.3453557127727</v>
      </c>
      <c r="R25" s="88">
        <f t="shared" si="16"/>
        <v>30.145355712772925</v>
      </c>
      <c r="T25" s="163">
        <f t="shared" si="8"/>
        <v>1.9383587778274647E-2</v>
      </c>
    </row>
    <row r="26" spans="1:20" x14ac:dyDescent="0.2">
      <c r="A26" s="167"/>
      <c r="B26" s="81" t="s">
        <v>170</v>
      </c>
      <c r="C26" s="102" t="s">
        <v>120</v>
      </c>
      <c r="D26" s="101"/>
      <c r="E26" s="101"/>
      <c r="F26" s="67">
        <v>12946</v>
      </c>
      <c r="G26" s="65">
        <f>References!B31</f>
        <v>613</v>
      </c>
      <c r="H26" s="68">
        <f t="shared" si="17"/>
        <v>7935898</v>
      </c>
      <c r="I26" s="84">
        <f t="shared" si="13"/>
        <v>6597759.2302924395</v>
      </c>
      <c r="J26" s="85">
        <f>References!$C$49*I26</f>
        <v>20552.0200023609</v>
      </c>
      <c r="K26" s="85">
        <f>J26/References!$G$52</f>
        <v>21073.860827191922</v>
      </c>
      <c r="L26" s="85">
        <f t="shared" si="18"/>
        <v>1.6278279644053701</v>
      </c>
      <c r="M26" s="66">
        <v>63.06</v>
      </c>
      <c r="N26" s="86">
        <f t="shared" si="19"/>
        <v>64.687827964405372</v>
      </c>
      <c r="O26" s="87">
        <f t="shared" si="14"/>
        <v>816374.76</v>
      </c>
      <c r="P26" s="88">
        <f t="shared" si="15"/>
        <v>64.687827964405372</v>
      </c>
      <c r="Q26" s="88">
        <f t="shared" si="20"/>
        <v>837448.62082719197</v>
      </c>
      <c r="R26" s="88">
        <f t="shared" si="16"/>
        <v>21073.860827191966</v>
      </c>
      <c r="T26" s="163">
        <f t="shared" si="8"/>
        <v>2.5813954399070305E-2</v>
      </c>
    </row>
    <row r="27" spans="1:20" x14ac:dyDescent="0.2">
      <c r="A27" s="167"/>
      <c r="B27" s="81" t="s">
        <v>170</v>
      </c>
      <c r="C27" s="102" t="s">
        <v>138</v>
      </c>
      <c r="D27" s="101"/>
      <c r="E27" s="101"/>
      <c r="F27" s="67">
        <v>36</v>
      </c>
      <c r="G27" s="65">
        <f>References!B31</f>
        <v>613</v>
      </c>
      <c r="H27" s="68">
        <f t="shared" ref="H27" si="23">F27*G27</f>
        <v>22068</v>
      </c>
      <c r="I27" s="84">
        <f t="shared" si="13"/>
        <v>18346.928185580706</v>
      </c>
      <c r="J27" s="85">
        <f>References!$C$49*I27</f>
        <v>57.150681298083768</v>
      </c>
      <c r="K27" s="85">
        <f>J27/References!$G$52</f>
        <v>58.60180671859333</v>
      </c>
      <c r="L27" s="85">
        <f t="shared" ref="L27" si="24">K27/F27</f>
        <v>1.6278279644053704</v>
      </c>
      <c r="M27" s="66">
        <v>76.56</v>
      </c>
      <c r="N27" s="86">
        <f t="shared" si="19"/>
        <v>78.187827964405372</v>
      </c>
      <c r="O27" s="87">
        <f t="shared" si="14"/>
        <v>2756.16</v>
      </c>
      <c r="P27" s="88">
        <f t="shared" si="15"/>
        <v>78.187827964405372</v>
      </c>
      <c r="Q27" s="88">
        <f t="shared" si="20"/>
        <v>2814.7618067185936</v>
      </c>
      <c r="R27" s="88">
        <f t="shared" si="16"/>
        <v>58.601806718593707</v>
      </c>
      <c r="T27" s="163">
        <f t="shared" si="8"/>
        <v>2.1262120747196578E-2</v>
      </c>
    </row>
    <row r="28" spans="1:20" x14ac:dyDescent="0.2">
      <c r="A28" s="167"/>
      <c r="B28" s="81" t="s">
        <v>170</v>
      </c>
      <c r="C28" s="102" t="s">
        <v>121</v>
      </c>
      <c r="D28" s="101"/>
      <c r="E28" s="101"/>
      <c r="F28" s="67">
        <v>6652</v>
      </c>
      <c r="G28" s="65">
        <f>References!B32</f>
        <v>840</v>
      </c>
      <c r="H28" s="68">
        <f t="shared" si="17"/>
        <v>5587680</v>
      </c>
      <c r="I28" s="84">
        <f t="shared" si="13"/>
        <v>4645494.0947981505</v>
      </c>
      <c r="J28" s="85">
        <f>References!$C$49*I28</f>
        <v>14470.714105296205</v>
      </c>
      <c r="K28" s="85">
        <f>J28/References!$G$52</f>
        <v>14838.143165005869</v>
      </c>
      <c r="L28" s="85">
        <f t="shared" si="18"/>
        <v>2.2306288582390064</v>
      </c>
      <c r="M28" s="66">
        <v>87.96</v>
      </c>
      <c r="N28" s="86">
        <f t="shared" si="19"/>
        <v>90.190628858238995</v>
      </c>
      <c r="O28" s="87">
        <f t="shared" si="14"/>
        <v>585109.91999999993</v>
      </c>
      <c r="P28" s="88">
        <f t="shared" si="15"/>
        <v>90.190628858238995</v>
      </c>
      <c r="Q28" s="88">
        <f t="shared" si="20"/>
        <v>599948.06316500576</v>
      </c>
      <c r="R28" s="88">
        <f t="shared" si="16"/>
        <v>14838.143165005837</v>
      </c>
      <c r="T28" s="163">
        <f t="shared" si="8"/>
        <v>2.5359582290120475E-2</v>
      </c>
    </row>
    <row r="29" spans="1:20" x14ac:dyDescent="0.2">
      <c r="A29" s="167"/>
      <c r="B29" s="81" t="s">
        <v>170</v>
      </c>
      <c r="C29" s="102" t="s">
        <v>139</v>
      </c>
      <c r="D29" s="101"/>
      <c r="E29" s="101"/>
      <c r="F29" s="67">
        <v>24</v>
      </c>
      <c r="G29" s="65">
        <f>References!B32</f>
        <v>840</v>
      </c>
      <c r="H29" s="68">
        <f t="shared" ref="H29" si="25">F29*G29</f>
        <v>20160</v>
      </c>
      <c r="I29" s="84">
        <f t="shared" si="13"/>
        <v>16760.652176060677</v>
      </c>
      <c r="J29" s="85">
        <f>References!$C$49*I29</f>
        <v>52.209431528428887</v>
      </c>
      <c r="K29" s="85">
        <f>J29/References!$G$52</f>
        <v>53.535092597736153</v>
      </c>
      <c r="L29" s="85">
        <f t="shared" ref="L29" si="26">K29/F29</f>
        <v>2.2306288582390064</v>
      </c>
      <c r="M29" s="66">
        <v>101.46</v>
      </c>
      <c r="N29" s="86">
        <f t="shared" si="19"/>
        <v>103.69062885823899</v>
      </c>
      <c r="O29" s="87">
        <f t="shared" si="14"/>
        <v>2435.04</v>
      </c>
      <c r="P29" s="88">
        <f t="shared" si="15"/>
        <v>103.69062885823899</v>
      </c>
      <c r="Q29" s="88">
        <f t="shared" si="20"/>
        <v>2488.5750925977359</v>
      </c>
      <c r="R29" s="88">
        <f t="shared" si="16"/>
        <v>53.535092597735911</v>
      </c>
      <c r="T29" s="163">
        <f t="shared" si="8"/>
        <v>2.1985303156307978E-2</v>
      </c>
    </row>
    <row r="30" spans="1:20" x14ac:dyDescent="0.2">
      <c r="A30" s="167"/>
      <c r="B30" s="81" t="s">
        <v>170</v>
      </c>
      <c r="C30" s="102" t="s">
        <v>122</v>
      </c>
      <c r="D30" s="101"/>
      <c r="E30" s="101"/>
      <c r="F30" s="67">
        <v>7588</v>
      </c>
      <c r="G30" s="65">
        <f>References!B33</f>
        <v>980</v>
      </c>
      <c r="H30" s="68">
        <f t="shared" si="17"/>
        <v>7436240</v>
      </c>
      <c r="I30" s="84">
        <f t="shared" si="13"/>
        <v>6182352.7846086035</v>
      </c>
      <c r="J30" s="85">
        <f>References!$C$49*I30</f>
        <v>19258.028924055754</v>
      </c>
      <c r="K30" s="85">
        <f>J30/References!$G$52</f>
        <v>19747.013739037175</v>
      </c>
      <c r="L30" s="85">
        <f t="shared" si="18"/>
        <v>2.6024003346121738</v>
      </c>
      <c r="M30" s="66">
        <v>110.82</v>
      </c>
      <c r="N30" s="86">
        <f t="shared" si="19"/>
        <v>113.42240033461216</v>
      </c>
      <c r="O30" s="87">
        <f t="shared" si="14"/>
        <v>840902.15999999992</v>
      </c>
      <c r="P30" s="88">
        <f t="shared" si="15"/>
        <v>113.42240033461216</v>
      </c>
      <c r="Q30" s="88">
        <f t="shared" si="20"/>
        <v>860649.17373903713</v>
      </c>
      <c r="R30" s="88">
        <f t="shared" si="16"/>
        <v>19747.013739037211</v>
      </c>
      <c r="T30" s="163">
        <f t="shared" si="8"/>
        <v>2.3483128808989173E-2</v>
      </c>
    </row>
    <row r="31" spans="1:20" x14ac:dyDescent="0.2">
      <c r="A31" s="167"/>
      <c r="B31" s="81">
        <v>37</v>
      </c>
      <c r="C31" s="102" t="s">
        <v>123</v>
      </c>
      <c r="D31" s="101"/>
      <c r="E31" s="101"/>
      <c r="F31" s="67">
        <v>156</v>
      </c>
      <c r="G31" s="65">
        <f>References!B37</f>
        <v>1301</v>
      </c>
      <c r="H31" s="68">
        <f t="shared" si="17"/>
        <v>202956</v>
      </c>
      <c r="I31" s="84">
        <f t="shared" si="13"/>
        <v>168733.87515102039</v>
      </c>
      <c r="J31" s="85">
        <f>References!$C$49*I31</f>
        <v>525.60602109542731</v>
      </c>
      <c r="K31" s="85">
        <f>J31/References!$G$52</f>
        <v>538.95179827709023</v>
      </c>
      <c r="L31" s="85">
        <f t="shared" si="18"/>
        <v>3.4548192197249374</v>
      </c>
      <c r="M31" s="66">
        <v>179.99</v>
      </c>
      <c r="N31" s="86">
        <f t="shared" si="19"/>
        <v>183.44481921972493</v>
      </c>
      <c r="O31" s="87">
        <f t="shared" si="14"/>
        <v>28078.440000000002</v>
      </c>
      <c r="P31" s="88">
        <f t="shared" si="15"/>
        <v>183.44481921972493</v>
      </c>
      <c r="Q31" s="88">
        <f t="shared" si="20"/>
        <v>28617.391798277091</v>
      </c>
      <c r="R31" s="88">
        <f t="shared" si="16"/>
        <v>538.95179827708853</v>
      </c>
      <c r="T31" s="163">
        <f t="shared" si="8"/>
        <v>1.9194506471053474E-2</v>
      </c>
    </row>
    <row r="32" spans="1:20" x14ac:dyDescent="0.2">
      <c r="A32" s="167"/>
      <c r="B32" s="81">
        <v>37</v>
      </c>
      <c r="C32" s="102" t="s">
        <v>124</v>
      </c>
      <c r="D32" s="101"/>
      <c r="E32" s="101"/>
      <c r="F32" s="67">
        <v>52</v>
      </c>
      <c r="G32" s="65">
        <f>References!B40</f>
        <v>2310</v>
      </c>
      <c r="H32" s="68">
        <f t="shared" ref="H32" si="27">F32*G32</f>
        <v>120120</v>
      </c>
      <c r="I32" s="84">
        <f t="shared" si="13"/>
        <v>99865.552549028202</v>
      </c>
      <c r="J32" s="85">
        <f>References!$C$49*I32</f>
        <v>311.0811961902221</v>
      </c>
      <c r="K32" s="85">
        <f>J32/References!$G$52</f>
        <v>318.97992672817787</v>
      </c>
      <c r="L32" s="85">
        <f t="shared" ref="L32" si="28">K32/F32</f>
        <v>6.1342293601572671</v>
      </c>
      <c r="M32" s="66">
        <v>349.09</v>
      </c>
      <c r="N32" s="86">
        <f t="shared" si="19"/>
        <v>355.22422936015727</v>
      </c>
      <c r="O32" s="87">
        <f t="shared" si="14"/>
        <v>18152.68</v>
      </c>
      <c r="P32" s="88">
        <f t="shared" si="15"/>
        <v>355.22422936015727</v>
      </c>
      <c r="Q32" s="88">
        <f t="shared" si="20"/>
        <v>18471.659926728178</v>
      </c>
      <c r="R32" s="88">
        <f t="shared" si="16"/>
        <v>318.97992672817782</v>
      </c>
      <c r="T32" s="163">
        <f t="shared" si="8"/>
        <v>1.7572056948515602E-2</v>
      </c>
    </row>
    <row r="33" spans="1:18" x14ac:dyDescent="0.2">
      <c r="A33" s="90"/>
      <c r="B33" s="92"/>
      <c r="C33" s="92" t="s">
        <v>31</v>
      </c>
      <c r="D33" s="93">
        <f>SUM(D16:D32)</f>
        <v>0</v>
      </c>
      <c r="E33" s="93"/>
      <c r="F33" s="93">
        <f>SUM(F16:F32)</f>
        <v>94598</v>
      </c>
      <c r="G33" s="93"/>
      <c r="H33" s="93">
        <f>SUM(H16:H32)</f>
        <v>31332160</v>
      </c>
      <c r="I33" s="98">
        <f>SUM(I16:I32)</f>
        <v>26048979.944676645</v>
      </c>
      <c r="J33" s="100"/>
      <c r="K33" s="100"/>
      <c r="L33" s="100"/>
      <c r="M33" s="100"/>
      <c r="N33" s="100"/>
      <c r="O33" s="99">
        <f>SUM(O16:O32)</f>
        <v>3457801.24</v>
      </c>
      <c r="P33" s="100"/>
      <c r="Q33" s="100">
        <f>SUM(Q16:Q32)</f>
        <v>3541004.121294002</v>
      </c>
      <c r="R33" s="100">
        <f>SUM(R16:R32)</f>
        <v>83202.88129400232</v>
      </c>
    </row>
    <row r="34" spans="1:18" x14ac:dyDescent="0.2">
      <c r="A34" s="104"/>
      <c r="C34" s="105" t="s">
        <v>125</v>
      </c>
      <c r="D34" s="106">
        <f>D15+D33</f>
        <v>18159</v>
      </c>
      <c r="E34" s="106"/>
      <c r="F34" s="106">
        <f>F15+F33</f>
        <v>928146</v>
      </c>
      <c r="G34" s="106"/>
      <c r="H34" s="106">
        <f>H15+H33</f>
        <v>61941164</v>
      </c>
      <c r="I34" s="106">
        <f>I15+I33</f>
        <v>51496741.328587852</v>
      </c>
      <c r="J34" s="85"/>
      <c r="K34" s="107"/>
      <c r="L34" s="107"/>
      <c r="M34" s="107"/>
      <c r="N34" s="107"/>
      <c r="O34" s="108">
        <f>O15+O33</f>
        <v>7651255.7199999997</v>
      </c>
      <c r="P34" s="107"/>
      <c r="Q34" s="107">
        <f>Q15+Q33</f>
        <v>7815741.1342039462</v>
      </c>
      <c r="R34" s="107">
        <f>R15+R33</f>
        <v>164485.41420394648</v>
      </c>
    </row>
    <row r="35" spans="1:18" x14ac:dyDescent="0.2">
      <c r="A35" s="104"/>
      <c r="B35" s="104"/>
      <c r="C35" s="104"/>
      <c r="D35" s="109"/>
      <c r="E35" s="104"/>
      <c r="F35" s="104"/>
      <c r="G35" s="104"/>
      <c r="H35" s="104"/>
      <c r="I35" s="110"/>
      <c r="J35" s="111"/>
      <c r="K35" s="104"/>
      <c r="L35" s="104"/>
      <c r="M35" s="104"/>
      <c r="N35" s="104"/>
      <c r="O35" s="104"/>
      <c r="P35" s="104"/>
      <c r="Q35" s="104"/>
      <c r="R35" s="104"/>
    </row>
    <row r="36" spans="1:18" x14ac:dyDescent="0.2">
      <c r="A36" s="104"/>
      <c r="B36" s="104"/>
      <c r="C36" s="104"/>
      <c r="D36" s="109"/>
      <c r="E36" s="104"/>
      <c r="F36" s="104"/>
      <c r="G36" s="104"/>
      <c r="H36" s="104"/>
      <c r="I36" s="110"/>
      <c r="J36" s="111"/>
      <c r="K36" s="104"/>
      <c r="L36" s="104"/>
      <c r="M36" s="104"/>
      <c r="N36" s="104"/>
      <c r="O36" s="104"/>
      <c r="P36" s="104"/>
      <c r="Q36" s="104"/>
      <c r="R36" s="104"/>
    </row>
    <row r="37" spans="1:18" x14ac:dyDescent="0.2">
      <c r="A37" s="112"/>
      <c r="B37" s="113" t="s">
        <v>126</v>
      </c>
      <c r="C37" s="113"/>
      <c r="D37" s="114"/>
      <c r="E37" s="112"/>
      <c r="F37" s="112"/>
      <c r="G37" s="112"/>
      <c r="H37" s="112"/>
      <c r="I37" s="115"/>
      <c r="J37" s="116"/>
      <c r="K37" s="112"/>
      <c r="L37" s="112"/>
      <c r="M37" s="112"/>
      <c r="N37" s="112"/>
      <c r="O37" s="104"/>
      <c r="P37" s="104"/>
      <c r="Q37" s="104"/>
      <c r="R37" s="104"/>
    </row>
    <row r="38" spans="1:18" x14ac:dyDescent="0.2">
      <c r="A38" s="169" t="s">
        <v>17</v>
      </c>
      <c r="B38" s="81">
        <v>22</v>
      </c>
      <c r="C38" s="117" t="s">
        <v>127</v>
      </c>
      <c r="D38" s="118">
        <v>1</v>
      </c>
      <c r="E38" s="101">
        <f>References!B7</f>
        <v>4.333333333333333</v>
      </c>
      <c r="F38" s="82">
        <f>D38*E38*12</f>
        <v>52</v>
      </c>
      <c r="G38" s="82">
        <f>References!B18</f>
        <v>117</v>
      </c>
      <c r="H38" s="82">
        <f>G38*F38</f>
        <v>6084</v>
      </c>
      <c r="I38" s="84">
        <f>$C$81*H38</f>
        <v>5058.1253888468827</v>
      </c>
      <c r="J38" s="85">
        <f>(References!$C$49*I38)</f>
        <v>15.756060586258004</v>
      </c>
      <c r="K38" s="85">
        <f>J38/References!$G$52</f>
        <v>16.156126158959662</v>
      </c>
      <c r="L38" s="85">
        <f t="shared" ref="L38" si="29">(K38/F38)*E38</f>
        <v>1.3463438465799715</v>
      </c>
      <c r="M38" s="85">
        <v>58.61</v>
      </c>
      <c r="N38" s="86">
        <f>L38+M38</f>
        <v>59.956343846579969</v>
      </c>
      <c r="O38" s="119"/>
      <c r="P38" s="85"/>
      <c r="Q38" s="85"/>
      <c r="R38" s="85"/>
    </row>
    <row r="39" spans="1:18" x14ac:dyDescent="0.2">
      <c r="A39" s="169"/>
      <c r="B39" s="120"/>
      <c r="C39" s="102"/>
      <c r="D39" s="82"/>
      <c r="E39" s="83"/>
      <c r="F39" s="82"/>
      <c r="G39" s="65"/>
      <c r="H39" s="82"/>
      <c r="I39" s="84"/>
      <c r="J39" s="85"/>
      <c r="K39" s="85"/>
      <c r="L39" s="85"/>
      <c r="M39" s="66"/>
      <c r="N39" s="85"/>
      <c r="O39" s="121"/>
      <c r="P39" s="104"/>
      <c r="Q39" s="104"/>
      <c r="R39" s="104"/>
    </row>
    <row r="40" spans="1:18" x14ac:dyDescent="0.2">
      <c r="A40" s="169"/>
      <c r="B40" s="120"/>
      <c r="D40" s="122"/>
      <c r="F40" s="82"/>
      <c r="G40" s="102"/>
      <c r="H40" s="82"/>
      <c r="I40" s="84"/>
      <c r="J40" s="85"/>
      <c r="K40" s="85"/>
      <c r="L40" s="85"/>
      <c r="M40" s="102"/>
      <c r="N40" s="85"/>
      <c r="O40" s="121"/>
      <c r="P40" s="104"/>
      <c r="Q40" s="104"/>
      <c r="R40" s="104"/>
    </row>
    <row r="41" spans="1:18" x14ac:dyDescent="0.2">
      <c r="A41" s="169"/>
      <c r="B41" s="123"/>
      <c r="C41" s="124"/>
      <c r="D41" s="125"/>
      <c r="E41" s="126"/>
      <c r="F41" s="127"/>
      <c r="G41" s="127"/>
      <c r="H41" s="127"/>
      <c r="I41" s="127"/>
      <c r="J41" s="128"/>
      <c r="K41" s="128"/>
      <c r="L41" s="128"/>
      <c r="M41" s="128"/>
      <c r="N41" s="128"/>
      <c r="O41" s="121"/>
      <c r="P41" s="104"/>
      <c r="Q41" s="104"/>
      <c r="R41" s="104"/>
    </row>
    <row r="42" spans="1:18" ht="15" customHeight="1" x14ac:dyDescent="0.2">
      <c r="A42" s="169" t="s">
        <v>167</v>
      </c>
      <c r="B42" s="129" t="s">
        <v>170</v>
      </c>
      <c r="C42" s="102" t="s">
        <v>164</v>
      </c>
      <c r="D42" s="102"/>
      <c r="E42" s="102"/>
      <c r="F42" s="68">
        <v>1</v>
      </c>
      <c r="G42" s="69">
        <f>References!B27</f>
        <v>175</v>
      </c>
      <c r="H42" s="68">
        <f t="shared" ref="H42:H44" si="30">F42*G42</f>
        <v>175</v>
      </c>
      <c r="I42" s="84">
        <f t="shared" ref="I42:I71" si="31">$C$81*H42</f>
        <v>145.49177236163783</v>
      </c>
      <c r="J42" s="85">
        <f>References!$C$49*I42</f>
        <v>0.4532068709065008</v>
      </c>
      <c r="K42" s="85">
        <f>J42/References!$G$52</f>
        <v>0.46471434546645973</v>
      </c>
      <c r="L42" s="85">
        <f t="shared" ref="L42:L44" si="32">K42/F42</f>
        <v>0.46471434546645973</v>
      </c>
      <c r="M42" s="85">
        <v>32.869999999999997</v>
      </c>
      <c r="N42" s="86">
        <f t="shared" ref="N42:N44" si="33">L42+M42</f>
        <v>33.334714345466459</v>
      </c>
      <c r="O42" s="121"/>
      <c r="P42" s="104"/>
      <c r="Q42" s="103"/>
      <c r="R42" s="104"/>
    </row>
    <row r="43" spans="1:18" x14ac:dyDescent="0.2">
      <c r="A43" s="169"/>
      <c r="B43" s="129" t="s">
        <v>170</v>
      </c>
      <c r="C43" s="102" t="s">
        <v>165</v>
      </c>
      <c r="D43" s="102"/>
      <c r="E43" s="102"/>
      <c r="F43" s="68">
        <v>1</v>
      </c>
      <c r="G43" s="69">
        <f>References!B28</f>
        <v>250</v>
      </c>
      <c r="H43" s="68">
        <f t="shared" si="30"/>
        <v>250</v>
      </c>
      <c r="I43" s="84">
        <f t="shared" si="31"/>
        <v>207.84538908805402</v>
      </c>
      <c r="J43" s="85">
        <f>References!$C$49*I43</f>
        <v>0.6474383870092868</v>
      </c>
      <c r="K43" s="85">
        <f>J43/References!$G$52</f>
        <v>0.66387763638065667</v>
      </c>
      <c r="L43" s="85">
        <f t="shared" si="32"/>
        <v>0.66387763638065667</v>
      </c>
      <c r="M43" s="85">
        <v>40.74</v>
      </c>
      <c r="N43" s="86">
        <f t="shared" si="33"/>
        <v>41.403877636380656</v>
      </c>
      <c r="O43" s="121"/>
      <c r="P43" s="104"/>
      <c r="Q43" s="103"/>
      <c r="R43" s="104"/>
    </row>
    <row r="44" spans="1:18" x14ac:dyDescent="0.2">
      <c r="A44" s="169"/>
      <c r="B44" s="129" t="s">
        <v>170</v>
      </c>
      <c r="C44" s="102" t="s">
        <v>166</v>
      </c>
      <c r="D44" s="102"/>
      <c r="E44" s="102"/>
      <c r="F44" s="68">
        <v>1</v>
      </c>
      <c r="G44" s="69">
        <f>References!B29</f>
        <v>324</v>
      </c>
      <c r="H44" s="68">
        <f t="shared" si="30"/>
        <v>324</v>
      </c>
      <c r="I44" s="84">
        <f>$C$81*H44</f>
        <v>269.36762425811804</v>
      </c>
      <c r="J44" s="85">
        <f>References!$C$49*I44</f>
        <v>0.83908014956403576</v>
      </c>
      <c r="K44" s="85">
        <f>J44/References!$G$52</f>
        <v>0.86038541674933111</v>
      </c>
      <c r="L44" s="85">
        <f t="shared" si="32"/>
        <v>0.86038541674933111</v>
      </c>
      <c r="M44" s="85">
        <v>47.79</v>
      </c>
      <c r="N44" s="86">
        <f t="shared" si="33"/>
        <v>48.65038541674933</v>
      </c>
      <c r="O44" s="121"/>
      <c r="P44" s="104"/>
      <c r="Q44" s="103"/>
      <c r="R44" s="104"/>
    </row>
    <row r="45" spans="1:18" x14ac:dyDescent="0.2">
      <c r="A45" s="169"/>
      <c r="B45" s="129" t="s">
        <v>170</v>
      </c>
      <c r="C45" s="130" t="s">
        <v>122</v>
      </c>
      <c r="D45" s="101"/>
      <c r="E45" s="101"/>
      <c r="F45" s="68">
        <v>1</v>
      </c>
      <c r="G45" s="69">
        <f>References!$B$33</f>
        <v>980</v>
      </c>
      <c r="H45" s="68">
        <f>F45*G45</f>
        <v>980</v>
      </c>
      <c r="I45" s="84">
        <f t="shared" si="31"/>
        <v>814.75392522517177</v>
      </c>
      <c r="J45" s="85">
        <f>References!$C$49*I45</f>
        <v>2.5379584770764043</v>
      </c>
      <c r="K45" s="85">
        <f>J45/References!$G$52</f>
        <v>2.6024003346121742</v>
      </c>
      <c r="L45" s="85">
        <f>K45/F45</f>
        <v>2.6024003346121742</v>
      </c>
      <c r="M45" s="85">
        <v>110.82</v>
      </c>
      <c r="N45" s="86">
        <f>L45+M45</f>
        <v>113.42240033461216</v>
      </c>
      <c r="O45" s="121"/>
      <c r="P45" s="104"/>
      <c r="Q45" s="103"/>
      <c r="R45" s="104"/>
    </row>
    <row r="46" spans="1:18" x14ac:dyDescent="0.2">
      <c r="A46" s="169"/>
      <c r="B46" s="129" t="s">
        <v>170</v>
      </c>
      <c r="C46" s="130" t="s">
        <v>141</v>
      </c>
      <c r="D46" s="101"/>
      <c r="E46" s="101"/>
      <c r="F46" s="68">
        <v>1</v>
      </c>
      <c r="G46" s="69">
        <f>References!$B$33</f>
        <v>980</v>
      </c>
      <c r="H46" s="68">
        <f>F46*G46</f>
        <v>980</v>
      </c>
      <c r="I46" s="84">
        <f t="shared" si="31"/>
        <v>814.75392522517177</v>
      </c>
      <c r="J46" s="85">
        <f>References!$C$49*I46</f>
        <v>2.5379584770764043</v>
      </c>
      <c r="K46" s="85">
        <f>J46/References!$G$52</f>
        <v>2.6024003346121742</v>
      </c>
      <c r="L46" s="85">
        <f>K46/F46</f>
        <v>2.6024003346121742</v>
      </c>
      <c r="M46" s="85">
        <v>124.32</v>
      </c>
      <c r="N46" s="86">
        <f>L46+M46</f>
        <v>126.92240033461216</v>
      </c>
      <c r="O46" s="121"/>
      <c r="P46" s="104"/>
      <c r="Q46" s="103"/>
      <c r="R46" s="104"/>
    </row>
    <row r="47" spans="1:18" x14ac:dyDescent="0.2">
      <c r="A47" s="169"/>
      <c r="B47" s="120" t="s">
        <v>170</v>
      </c>
      <c r="C47" s="117" t="s">
        <v>145</v>
      </c>
      <c r="D47" s="101"/>
      <c r="E47" s="101"/>
      <c r="F47" s="68">
        <v>1</v>
      </c>
      <c r="G47" s="69">
        <f>References!B27</f>
        <v>175</v>
      </c>
      <c r="H47" s="68">
        <f>F47*G47</f>
        <v>175</v>
      </c>
      <c r="I47" s="84">
        <f t="shared" si="31"/>
        <v>145.49177236163783</v>
      </c>
      <c r="J47" s="85">
        <f>References!$C$49*I47</f>
        <v>0.4532068709065008</v>
      </c>
      <c r="K47" s="85">
        <f>J47/References!$G$52</f>
        <v>0.46471434546645973</v>
      </c>
      <c r="L47" s="85">
        <f>K47/F47</f>
        <v>0.46471434546645973</v>
      </c>
      <c r="M47" s="85">
        <v>22.17</v>
      </c>
      <c r="N47" s="86">
        <f>L47+M47</f>
        <v>22.634714345466463</v>
      </c>
      <c r="O47" s="121"/>
      <c r="P47" s="104"/>
      <c r="Q47" s="103"/>
      <c r="R47" s="104"/>
    </row>
    <row r="48" spans="1:18" s="102" customFormat="1" x14ac:dyDescent="0.2">
      <c r="A48" s="169"/>
      <c r="B48" s="120" t="s">
        <v>170</v>
      </c>
      <c r="C48" s="117" t="s">
        <v>146</v>
      </c>
      <c r="D48" s="101"/>
      <c r="E48" s="101"/>
      <c r="F48" s="68">
        <v>1</v>
      </c>
      <c r="G48" s="69">
        <f>References!B28</f>
        <v>250</v>
      </c>
      <c r="H48" s="68">
        <f t="shared" ref="H48:H53" si="34">F48*G48</f>
        <v>250</v>
      </c>
      <c r="I48" s="84">
        <f t="shared" si="31"/>
        <v>207.84538908805402</v>
      </c>
      <c r="J48" s="85">
        <f>References!$C$49*I48</f>
        <v>0.6474383870092868</v>
      </c>
      <c r="K48" s="85">
        <f>J48/References!$G$52</f>
        <v>0.66387763638065667</v>
      </c>
      <c r="L48" s="85">
        <f t="shared" ref="L48:L53" si="35">K48/F48</f>
        <v>0.66387763638065667</v>
      </c>
      <c r="M48" s="85">
        <v>30.04</v>
      </c>
      <c r="N48" s="86">
        <f t="shared" ref="N48:N53" si="36">L48+M48</f>
        <v>30.703877636380657</v>
      </c>
      <c r="O48" s="121"/>
      <c r="P48" s="117"/>
      <c r="Q48" s="103"/>
      <c r="R48" s="117"/>
    </row>
    <row r="49" spans="1:18" s="102" customFormat="1" x14ac:dyDescent="0.2">
      <c r="A49" s="169"/>
      <c r="B49" s="120" t="s">
        <v>170</v>
      </c>
      <c r="C49" s="117" t="s">
        <v>147</v>
      </c>
      <c r="D49" s="101"/>
      <c r="E49" s="101"/>
      <c r="F49" s="68">
        <v>1</v>
      </c>
      <c r="G49" s="69">
        <f>References!B29</f>
        <v>324</v>
      </c>
      <c r="H49" s="68">
        <f t="shared" si="34"/>
        <v>324</v>
      </c>
      <c r="I49" s="84">
        <f t="shared" si="31"/>
        <v>269.36762425811804</v>
      </c>
      <c r="J49" s="85">
        <f>References!$C$49*I49</f>
        <v>0.83908014956403576</v>
      </c>
      <c r="K49" s="85">
        <f>J49/References!$G$52</f>
        <v>0.86038541674933111</v>
      </c>
      <c r="L49" s="85">
        <f t="shared" si="35"/>
        <v>0.86038541674933111</v>
      </c>
      <c r="M49" s="85">
        <v>37.090000000000003</v>
      </c>
      <c r="N49" s="86">
        <f t="shared" si="36"/>
        <v>37.950385416749334</v>
      </c>
      <c r="O49" s="121"/>
      <c r="P49" s="117"/>
      <c r="Q49" s="103"/>
      <c r="R49" s="117"/>
    </row>
    <row r="50" spans="1:18" s="102" customFormat="1" x14ac:dyDescent="0.2">
      <c r="A50" s="169"/>
      <c r="B50" s="120" t="s">
        <v>170</v>
      </c>
      <c r="C50" s="117" t="s">
        <v>148</v>
      </c>
      <c r="D50" s="101"/>
      <c r="E50" s="101"/>
      <c r="F50" s="68">
        <v>1</v>
      </c>
      <c r="G50" s="69">
        <f>References!B30</f>
        <v>473</v>
      </c>
      <c r="H50" s="68">
        <f t="shared" si="34"/>
        <v>473</v>
      </c>
      <c r="I50" s="84">
        <f t="shared" si="31"/>
        <v>393.24347615459823</v>
      </c>
      <c r="J50" s="85">
        <f>References!$C$49*I50</f>
        <v>1.2249534282215706</v>
      </c>
      <c r="K50" s="85">
        <f>J50/References!$G$52</f>
        <v>1.2560564880322025</v>
      </c>
      <c r="L50" s="85">
        <f t="shared" si="35"/>
        <v>1.2560564880322025</v>
      </c>
      <c r="M50" s="85">
        <v>54.1</v>
      </c>
      <c r="N50" s="86">
        <f t="shared" si="36"/>
        <v>55.356056488032202</v>
      </c>
      <c r="O50" s="121"/>
      <c r="P50" s="117"/>
      <c r="Q50" s="103"/>
      <c r="R50" s="117"/>
    </row>
    <row r="51" spans="1:18" s="102" customFormat="1" x14ac:dyDescent="0.2">
      <c r="A51" s="169"/>
      <c r="B51" s="120" t="s">
        <v>170</v>
      </c>
      <c r="C51" s="117" t="s">
        <v>149</v>
      </c>
      <c r="D51" s="101"/>
      <c r="E51" s="101"/>
      <c r="F51" s="68">
        <v>1</v>
      </c>
      <c r="G51" s="69">
        <f>References!B31</f>
        <v>613</v>
      </c>
      <c r="H51" s="68">
        <f t="shared" si="34"/>
        <v>613</v>
      </c>
      <c r="I51" s="84">
        <f t="shared" si="31"/>
        <v>509.63689404390846</v>
      </c>
      <c r="J51" s="85">
        <f>References!$C$49*I51</f>
        <v>1.5875189249467712</v>
      </c>
      <c r="K51" s="85">
        <f>J51/References!$G$52</f>
        <v>1.6278279644053701</v>
      </c>
      <c r="L51" s="85">
        <f t="shared" si="35"/>
        <v>1.6278279644053701</v>
      </c>
      <c r="M51" s="85">
        <v>64.86</v>
      </c>
      <c r="N51" s="86">
        <f t="shared" si="36"/>
        <v>66.487827964405369</v>
      </c>
      <c r="O51" s="121"/>
      <c r="P51" s="117"/>
      <c r="Q51" s="103"/>
      <c r="R51" s="117"/>
    </row>
    <row r="52" spans="1:18" x14ac:dyDescent="0.2">
      <c r="A52" s="169"/>
      <c r="B52" s="120" t="s">
        <v>170</v>
      </c>
      <c r="C52" s="117" t="s">
        <v>150</v>
      </c>
      <c r="D52" s="101"/>
      <c r="E52" s="101"/>
      <c r="F52" s="68">
        <v>1</v>
      </c>
      <c r="G52" s="69">
        <f>References!B32</f>
        <v>840</v>
      </c>
      <c r="H52" s="68">
        <f t="shared" si="34"/>
        <v>840</v>
      </c>
      <c r="I52" s="84">
        <f t="shared" si="31"/>
        <v>698.36050733586148</v>
      </c>
      <c r="J52" s="85">
        <f>References!$C$49*I52</f>
        <v>2.1753929803512033</v>
      </c>
      <c r="K52" s="85">
        <f>J52/References!$G$52</f>
        <v>2.2306288582390059</v>
      </c>
      <c r="L52" s="85">
        <f t="shared" si="35"/>
        <v>2.2306288582390059</v>
      </c>
      <c r="M52" s="85">
        <v>90.76</v>
      </c>
      <c r="N52" s="86">
        <f t="shared" si="36"/>
        <v>92.990628858239006</v>
      </c>
      <c r="O52" s="121"/>
      <c r="P52" s="104"/>
      <c r="Q52" s="103"/>
      <c r="R52" s="104"/>
    </row>
    <row r="53" spans="1:18" x14ac:dyDescent="0.2">
      <c r="A53" s="169"/>
      <c r="B53" s="120" t="s">
        <v>170</v>
      </c>
      <c r="C53" s="117" t="s">
        <v>151</v>
      </c>
      <c r="D53" s="101"/>
      <c r="E53" s="101"/>
      <c r="F53" s="68">
        <v>1</v>
      </c>
      <c r="G53" s="69">
        <f>References!B33</f>
        <v>980</v>
      </c>
      <c r="H53" s="68">
        <f t="shared" si="34"/>
        <v>980</v>
      </c>
      <c r="I53" s="84">
        <f t="shared" si="31"/>
        <v>814.75392522517177</v>
      </c>
      <c r="J53" s="85">
        <f>References!$C$49*I53</f>
        <v>2.5379584770764043</v>
      </c>
      <c r="K53" s="85">
        <f>J53/References!$G$52</f>
        <v>2.6024003346121742</v>
      </c>
      <c r="L53" s="85">
        <f t="shared" si="35"/>
        <v>2.6024003346121742</v>
      </c>
      <c r="M53" s="85">
        <v>113.62</v>
      </c>
      <c r="N53" s="86">
        <f t="shared" si="36"/>
        <v>116.22240033461217</v>
      </c>
      <c r="O53" s="121"/>
      <c r="P53" s="104"/>
      <c r="Q53" s="103"/>
      <c r="R53" s="104"/>
    </row>
    <row r="54" spans="1:18" x14ac:dyDescent="0.2">
      <c r="A54" s="169"/>
      <c r="B54" s="120" t="s">
        <v>168</v>
      </c>
      <c r="C54" s="130" t="s">
        <v>152</v>
      </c>
      <c r="D54" s="101"/>
      <c r="E54" s="101"/>
      <c r="F54" s="68">
        <v>1</v>
      </c>
      <c r="G54" s="69">
        <f>References!B13</f>
        <v>20</v>
      </c>
      <c r="H54" s="68">
        <f>F54*G54</f>
        <v>20</v>
      </c>
      <c r="I54" s="84">
        <f t="shared" si="31"/>
        <v>16.627631127044321</v>
      </c>
      <c r="J54" s="85">
        <f>References!$C$49*I54</f>
        <v>5.1795070960742942E-2</v>
      </c>
      <c r="K54" s="85">
        <f>J54/References!$G$52</f>
        <v>5.3110210910452531E-2</v>
      </c>
      <c r="L54" s="85">
        <f>K54/F54</f>
        <v>5.3110210910452531E-2</v>
      </c>
      <c r="M54" s="85">
        <v>7.32</v>
      </c>
      <c r="N54" s="86">
        <f>L54+M54</f>
        <v>7.3731102109104532</v>
      </c>
      <c r="O54" s="121"/>
      <c r="P54" s="104"/>
      <c r="Q54" s="103"/>
      <c r="R54" s="104"/>
    </row>
    <row r="55" spans="1:18" x14ac:dyDescent="0.2">
      <c r="A55" s="169"/>
      <c r="B55" s="120">
        <v>36</v>
      </c>
      <c r="C55" s="130" t="s">
        <v>158</v>
      </c>
      <c r="D55" s="101"/>
      <c r="E55" s="101"/>
      <c r="F55" s="68">
        <v>1</v>
      </c>
      <c r="G55" s="69">
        <f>References!B13</f>
        <v>20</v>
      </c>
      <c r="H55" s="68">
        <f t="shared" ref="H55" si="37">F55*G55</f>
        <v>20</v>
      </c>
      <c r="I55" s="84">
        <f t="shared" si="31"/>
        <v>16.627631127044321</v>
      </c>
      <c r="J55" s="85">
        <f>References!$C$49*I55</f>
        <v>5.1795070960742942E-2</v>
      </c>
      <c r="K55" s="85">
        <f>J55/References!$G$52</f>
        <v>5.3110210910452531E-2</v>
      </c>
      <c r="L55" s="85">
        <f t="shared" ref="L55" si="38">K55/F55</f>
        <v>5.3110210910452531E-2</v>
      </c>
      <c r="M55" s="85">
        <v>4.5199999999999996</v>
      </c>
      <c r="N55" s="86">
        <f t="shared" ref="N55" si="39">L55+M55</f>
        <v>4.5731102109104524</v>
      </c>
      <c r="O55" s="121"/>
      <c r="P55" s="104"/>
      <c r="Q55" s="103"/>
      <c r="R55" s="104"/>
    </row>
    <row r="56" spans="1:18" x14ac:dyDescent="0.2">
      <c r="A56" s="169"/>
      <c r="B56" s="120" t="s">
        <v>171</v>
      </c>
      <c r="C56" s="130" t="s">
        <v>161</v>
      </c>
      <c r="D56" s="101"/>
      <c r="E56" s="101"/>
      <c r="F56" s="68">
        <v>1</v>
      </c>
      <c r="G56" s="69">
        <f>References!$B$26</f>
        <v>29</v>
      </c>
      <c r="H56" s="68">
        <f t="shared" ref="H56:H65" si="40">F56*G56</f>
        <v>29</v>
      </c>
      <c r="I56" s="84">
        <f t="shared" si="31"/>
        <v>24.110065134214267</v>
      </c>
      <c r="J56" s="85">
        <f>References!$C$49*I56</f>
        <v>7.5102852893077263E-2</v>
      </c>
      <c r="K56" s="85">
        <f>J56/References!$G$52</f>
        <v>7.7009805820156166E-2</v>
      </c>
      <c r="L56" s="85">
        <f t="shared" ref="L56:L65" si="41">K56/F56</f>
        <v>7.7009805820156166E-2</v>
      </c>
      <c r="M56" s="85">
        <v>4.78</v>
      </c>
      <c r="N56" s="86">
        <f t="shared" ref="N56:N65" si="42">L56+M56</f>
        <v>4.8570098058201561</v>
      </c>
      <c r="O56" s="121"/>
      <c r="P56" s="104"/>
      <c r="Q56" s="103"/>
      <c r="R56" s="104"/>
    </row>
    <row r="57" spans="1:18" x14ac:dyDescent="0.2">
      <c r="A57" s="169"/>
      <c r="B57" s="120" t="s">
        <v>172</v>
      </c>
      <c r="C57" s="130" t="s">
        <v>153</v>
      </c>
      <c r="D57" s="101"/>
      <c r="E57" s="101"/>
      <c r="F57" s="68">
        <v>1</v>
      </c>
      <c r="G57" s="69">
        <f>References!B26</f>
        <v>29</v>
      </c>
      <c r="H57" s="68">
        <f t="shared" si="40"/>
        <v>29</v>
      </c>
      <c r="I57" s="84">
        <f t="shared" si="31"/>
        <v>24.110065134214267</v>
      </c>
      <c r="J57" s="85">
        <f>References!$C$49*I57</f>
        <v>7.5102852893077263E-2</v>
      </c>
      <c r="K57" s="85">
        <f>J57/References!$G$52</f>
        <v>7.7009805820156166E-2</v>
      </c>
      <c r="L57" s="85">
        <f t="shared" si="41"/>
        <v>7.7009805820156166E-2</v>
      </c>
      <c r="M57" s="85">
        <v>7.58</v>
      </c>
      <c r="N57" s="86">
        <f t="shared" si="42"/>
        <v>7.6570098058201559</v>
      </c>
      <c r="O57" s="121"/>
      <c r="P57" s="104"/>
      <c r="Q57" s="103"/>
      <c r="R57" s="104"/>
    </row>
    <row r="58" spans="1:18" x14ac:dyDescent="0.2">
      <c r="A58" s="169"/>
      <c r="B58" s="120" t="s">
        <v>172</v>
      </c>
      <c r="C58" s="130" t="s">
        <v>142</v>
      </c>
      <c r="D58" s="101"/>
      <c r="E58" s="101"/>
      <c r="F58" s="68">
        <v>1</v>
      </c>
      <c r="G58" s="69">
        <f>References!B20</f>
        <v>37</v>
      </c>
      <c r="H58" s="68">
        <f t="shared" si="40"/>
        <v>37</v>
      </c>
      <c r="I58" s="84">
        <f t="shared" si="31"/>
        <v>30.761117585031997</v>
      </c>
      <c r="J58" s="85">
        <f>References!$C$49*I58</f>
        <v>9.5820881277374453E-2</v>
      </c>
      <c r="K58" s="85">
        <f>J58/References!$G$52</f>
        <v>9.8253890184337195E-2</v>
      </c>
      <c r="L58" s="85">
        <f t="shared" si="41"/>
        <v>9.8253890184337195E-2</v>
      </c>
      <c r="M58" s="85">
        <v>7.73</v>
      </c>
      <c r="N58" s="86">
        <f t="shared" si="42"/>
        <v>7.8282538901843379</v>
      </c>
      <c r="O58" s="121"/>
      <c r="P58" s="104"/>
      <c r="Q58" s="103"/>
      <c r="R58" s="104"/>
    </row>
    <row r="59" spans="1:18" x14ac:dyDescent="0.2">
      <c r="A59" s="169"/>
      <c r="B59" s="120" t="s">
        <v>172</v>
      </c>
      <c r="C59" s="130" t="s">
        <v>143</v>
      </c>
      <c r="D59" s="101"/>
      <c r="E59" s="101"/>
      <c r="F59" s="68">
        <v>1</v>
      </c>
      <c r="G59" s="69">
        <f>References!B21</f>
        <v>47</v>
      </c>
      <c r="H59" s="68">
        <f t="shared" si="40"/>
        <v>47</v>
      </c>
      <c r="I59" s="84">
        <f t="shared" si="31"/>
        <v>39.074933148554159</v>
      </c>
      <c r="J59" s="85">
        <f>References!$C$49*I59</f>
        <v>0.12171841675774592</v>
      </c>
      <c r="K59" s="85">
        <f>J59/References!$G$52</f>
        <v>0.12480899563956345</v>
      </c>
      <c r="L59" s="85">
        <f t="shared" si="41"/>
        <v>0.12480899563956345</v>
      </c>
      <c r="M59" s="85">
        <v>10.79</v>
      </c>
      <c r="N59" s="86">
        <f t="shared" si="42"/>
        <v>10.914808995639563</v>
      </c>
      <c r="O59" s="121"/>
      <c r="P59" s="104"/>
      <c r="Q59" s="103"/>
      <c r="R59" s="104"/>
    </row>
    <row r="60" spans="1:18" x14ac:dyDescent="0.2">
      <c r="A60" s="169"/>
      <c r="B60" s="120" t="s">
        <v>172</v>
      </c>
      <c r="C60" s="130" t="s">
        <v>144</v>
      </c>
      <c r="D60" s="101"/>
      <c r="E60" s="101"/>
      <c r="F60" s="68">
        <v>1</v>
      </c>
      <c r="G60" s="69">
        <f>References!B22</f>
        <v>68</v>
      </c>
      <c r="H60" s="68">
        <f t="shared" si="40"/>
        <v>68</v>
      </c>
      <c r="I60" s="84">
        <f t="shared" si="31"/>
        <v>56.533945831950696</v>
      </c>
      <c r="J60" s="85">
        <f>References!$C$49*I60</f>
        <v>0.17610324126652602</v>
      </c>
      <c r="K60" s="85">
        <f>J60/References!$G$52</f>
        <v>0.18057471709553863</v>
      </c>
      <c r="L60" s="85">
        <f t="shared" si="41"/>
        <v>0.18057471709553863</v>
      </c>
      <c r="M60" s="85">
        <v>13.12</v>
      </c>
      <c r="N60" s="86">
        <f t="shared" si="42"/>
        <v>13.300574717095538</v>
      </c>
      <c r="O60" s="121"/>
      <c r="P60" s="104"/>
      <c r="Q60" s="103"/>
      <c r="R60" s="104"/>
    </row>
    <row r="61" spans="1:18" x14ac:dyDescent="0.2">
      <c r="A61" s="169"/>
      <c r="B61" s="120">
        <v>29</v>
      </c>
      <c r="C61" s="117" t="s">
        <v>169</v>
      </c>
      <c r="D61" s="101"/>
      <c r="E61" s="101"/>
      <c r="F61" s="68">
        <v>1</v>
      </c>
      <c r="G61" s="69">
        <f>References!B42</f>
        <v>125</v>
      </c>
      <c r="H61" s="68">
        <f t="shared" si="40"/>
        <v>125</v>
      </c>
      <c r="I61" s="84">
        <f t="shared" si="31"/>
        <v>103.92269454402701</v>
      </c>
      <c r="J61" s="85">
        <f>References!$C$49*I61</f>
        <v>0.3237191935046434</v>
      </c>
      <c r="K61" s="85">
        <f>J61/References!$G$52</f>
        <v>0.33193881819032833</v>
      </c>
      <c r="L61" s="85">
        <f t="shared" si="41"/>
        <v>0.33193881819032833</v>
      </c>
      <c r="M61" s="85">
        <v>20.77</v>
      </c>
      <c r="N61" s="86">
        <f t="shared" si="42"/>
        <v>21.101938818190327</v>
      </c>
      <c r="O61" s="121"/>
      <c r="P61" s="104"/>
      <c r="Q61" s="103"/>
      <c r="R61" s="104"/>
    </row>
    <row r="62" spans="1:18" x14ac:dyDescent="0.2">
      <c r="A62" s="169"/>
      <c r="B62" s="120">
        <v>36</v>
      </c>
      <c r="C62" s="130" t="s">
        <v>162</v>
      </c>
      <c r="D62" s="101"/>
      <c r="E62" s="101"/>
      <c r="F62" s="68">
        <v>1</v>
      </c>
      <c r="G62" s="69">
        <f>References!$B$26</f>
        <v>29</v>
      </c>
      <c r="H62" s="68">
        <f t="shared" si="40"/>
        <v>29</v>
      </c>
      <c r="I62" s="84">
        <f t="shared" si="31"/>
        <v>24.110065134214267</v>
      </c>
      <c r="J62" s="85">
        <f>References!$C$49*I62</f>
        <v>7.5102852893077263E-2</v>
      </c>
      <c r="K62" s="85">
        <f>J62/References!$G$52</f>
        <v>7.7009805820156166E-2</v>
      </c>
      <c r="L62" s="85">
        <f t="shared" si="41"/>
        <v>7.7009805820156166E-2</v>
      </c>
      <c r="M62" s="85">
        <v>20.18</v>
      </c>
      <c r="N62" s="86">
        <f t="shared" si="42"/>
        <v>20.257009805820157</v>
      </c>
      <c r="O62" s="121"/>
      <c r="P62" s="104"/>
      <c r="Q62" s="103"/>
      <c r="R62" s="104"/>
    </row>
    <row r="63" spans="1:18" x14ac:dyDescent="0.2">
      <c r="A63" s="169"/>
      <c r="B63" s="120">
        <v>36</v>
      </c>
      <c r="C63" s="130" t="s">
        <v>163</v>
      </c>
      <c r="D63" s="101"/>
      <c r="E63" s="101"/>
      <c r="F63" s="68">
        <v>1</v>
      </c>
      <c r="G63" s="69">
        <f>References!$B$26</f>
        <v>29</v>
      </c>
      <c r="H63" s="68">
        <f t="shared" si="40"/>
        <v>29</v>
      </c>
      <c r="I63" s="84">
        <f t="shared" si="31"/>
        <v>24.110065134214267</v>
      </c>
      <c r="J63" s="85">
        <f>References!$C$49*I63</f>
        <v>7.5102852893077263E-2</v>
      </c>
      <c r="K63" s="85">
        <f>J63/References!$G$52</f>
        <v>7.7009805820156166E-2</v>
      </c>
      <c r="L63" s="85">
        <f t="shared" si="41"/>
        <v>7.7009805820156166E-2</v>
      </c>
      <c r="M63" s="85">
        <v>9.83</v>
      </c>
      <c r="N63" s="86">
        <f t="shared" si="42"/>
        <v>9.9070098058201559</v>
      </c>
      <c r="O63" s="121"/>
      <c r="P63" s="104"/>
      <c r="Q63" s="103"/>
      <c r="R63" s="104"/>
    </row>
    <row r="64" spans="1:18" x14ac:dyDescent="0.2">
      <c r="A64" s="169"/>
      <c r="B64" s="120">
        <v>37</v>
      </c>
      <c r="C64" s="130" t="s">
        <v>128</v>
      </c>
      <c r="D64" s="101"/>
      <c r="E64" s="101"/>
      <c r="F64" s="68">
        <v>1</v>
      </c>
      <c r="G64" s="69">
        <f>References!B38</f>
        <v>1686</v>
      </c>
      <c r="H64" s="68">
        <f t="shared" si="40"/>
        <v>1686</v>
      </c>
      <c r="I64" s="84">
        <f t="shared" si="31"/>
        <v>1401.7093040098364</v>
      </c>
      <c r="J64" s="85">
        <f>References!$C$49*I64</f>
        <v>4.3663244819906302</v>
      </c>
      <c r="K64" s="85">
        <f>J64/References!$G$52</f>
        <v>4.4771907797511483</v>
      </c>
      <c r="L64" s="85">
        <f t="shared" si="41"/>
        <v>4.4771907797511483</v>
      </c>
      <c r="M64" s="85">
        <v>236.7</v>
      </c>
      <c r="N64" s="86">
        <f t="shared" si="42"/>
        <v>241.17719077975113</v>
      </c>
      <c r="O64" s="121"/>
      <c r="P64" s="104"/>
      <c r="Q64" s="103"/>
      <c r="R64" s="104"/>
    </row>
    <row r="65" spans="1:18" x14ac:dyDescent="0.2">
      <c r="A65" s="169"/>
      <c r="B65" s="120">
        <v>37</v>
      </c>
      <c r="C65" s="130" t="s">
        <v>140</v>
      </c>
      <c r="D65" s="101"/>
      <c r="E65" s="101"/>
      <c r="F65" s="68">
        <v>1</v>
      </c>
      <c r="G65" s="69">
        <f>References!B39</f>
        <v>2046</v>
      </c>
      <c r="H65" s="68">
        <f t="shared" si="40"/>
        <v>2046</v>
      </c>
      <c r="I65" s="84">
        <f t="shared" si="31"/>
        <v>1701.0066642966342</v>
      </c>
      <c r="J65" s="85">
        <f>References!$C$49*I65</f>
        <v>5.2986357592840037</v>
      </c>
      <c r="K65" s="85">
        <f>J65/References!$G$52</f>
        <v>5.4331745761392947</v>
      </c>
      <c r="L65" s="85">
        <f t="shared" si="41"/>
        <v>5.4331745761392947</v>
      </c>
      <c r="M65" s="85">
        <v>293.72000000000003</v>
      </c>
      <c r="N65" s="86">
        <f t="shared" si="42"/>
        <v>299.15317457613935</v>
      </c>
      <c r="O65" s="121"/>
      <c r="P65" s="104"/>
      <c r="Q65" s="103"/>
      <c r="R65" s="104"/>
    </row>
    <row r="66" spans="1:18" x14ac:dyDescent="0.2">
      <c r="A66" s="169"/>
      <c r="B66" s="131">
        <v>37</v>
      </c>
      <c r="C66" s="102" t="s">
        <v>154</v>
      </c>
      <c r="D66" s="102"/>
      <c r="E66" s="102"/>
      <c r="F66" s="68">
        <v>1</v>
      </c>
      <c r="G66" s="69">
        <f>References!B37</f>
        <v>1301</v>
      </c>
      <c r="H66" s="68">
        <f t="shared" ref="H66:H67" si="43">F66*G66</f>
        <v>1301</v>
      </c>
      <c r="I66" s="84">
        <f t="shared" si="31"/>
        <v>1081.6274048142332</v>
      </c>
      <c r="J66" s="85">
        <f>References!$C$49*I66</f>
        <v>3.3692693659963284</v>
      </c>
      <c r="K66" s="85">
        <f>J66/References!$G$52</f>
        <v>3.4548192197249374</v>
      </c>
      <c r="L66" s="85">
        <f t="shared" ref="L66:L67" si="44">K66/F66</f>
        <v>3.4548192197249374</v>
      </c>
      <c r="M66" s="85">
        <v>184.19</v>
      </c>
      <c r="N66" s="86">
        <f t="shared" ref="N66:N67" si="45">L66+M66</f>
        <v>187.64481921972492</v>
      </c>
      <c r="O66" s="121"/>
      <c r="P66" s="104"/>
      <c r="Q66" s="103"/>
      <c r="R66" s="104"/>
    </row>
    <row r="67" spans="1:18" x14ac:dyDescent="0.2">
      <c r="A67" s="169"/>
      <c r="B67" s="120">
        <v>37</v>
      </c>
      <c r="C67" s="102" t="s">
        <v>155</v>
      </c>
      <c r="D67" s="102"/>
      <c r="E67" s="102"/>
      <c r="F67" s="68">
        <v>1</v>
      </c>
      <c r="G67" s="69">
        <f>References!B38</f>
        <v>1686</v>
      </c>
      <c r="H67" s="68">
        <f t="shared" si="43"/>
        <v>1686</v>
      </c>
      <c r="I67" s="84">
        <f t="shared" si="31"/>
        <v>1401.7093040098364</v>
      </c>
      <c r="J67" s="85">
        <f>References!$C$49*I67</f>
        <v>4.3663244819906302</v>
      </c>
      <c r="K67" s="85">
        <f>J67/References!$G$52</f>
        <v>4.4771907797511483</v>
      </c>
      <c r="L67" s="85">
        <f t="shared" si="44"/>
        <v>4.4771907797511483</v>
      </c>
      <c r="M67" s="85">
        <v>240.9</v>
      </c>
      <c r="N67" s="86">
        <f t="shared" si="45"/>
        <v>245.37719077975115</v>
      </c>
      <c r="O67" s="121"/>
      <c r="P67" s="104"/>
      <c r="Q67" s="103"/>
      <c r="R67" s="104"/>
    </row>
    <row r="68" spans="1:18" x14ac:dyDescent="0.2">
      <c r="A68" s="169"/>
      <c r="B68" s="131">
        <v>37</v>
      </c>
      <c r="C68" s="102" t="s">
        <v>156</v>
      </c>
      <c r="D68" s="102"/>
      <c r="E68" s="102"/>
      <c r="F68" s="68">
        <v>1</v>
      </c>
      <c r="G68" s="69">
        <f>References!B39</f>
        <v>2046</v>
      </c>
      <c r="H68" s="68">
        <f>F68*G68</f>
        <v>2046</v>
      </c>
      <c r="I68" s="84">
        <f t="shared" si="31"/>
        <v>1701.0066642966342</v>
      </c>
      <c r="J68" s="85">
        <f>References!$C$49*I68</f>
        <v>5.2986357592840037</v>
      </c>
      <c r="K68" s="85">
        <f>J68/References!$G$52</f>
        <v>5.4331745761392947</v>
      </c>
      <c r="L68" s="85">
        <f>K68/F68</f>
        <v>5.4331745761392947</v>
      </c>
      <c r="M68" s="85">
        <v>297.92</v>
      </c>
      <c r="N68" s="86">
        <f>L68+M68</f>
        <v>303.35317457613934</v>
      </c>
      <c r="O68" s="121"/>
      <c r="P68" s="104"/>
      <c r="Q68" s="103"/>
      <c r="R68" s="104"/>
    </row>
    <row r="69" spans="1:18" x14ac:dyDescent="0.2">
      <c r="A69" s="169"/>
      <c r="B69" s="120">
        <v>37</v>
      </c>
      <c r="C69" s="102" t="s">
        <v>157</v>
      </c>
      <c r="D69" s="102"/>
      <c r="E69" s="102"/>
      <c r="F69" s="68">
        <v>1</v>
      </c>
      <c r="G69" s="69">
        <f>References!B40</f>
        <v>2310</v>
      </c>
      <c r="H69" s="68">
        <f>F69*G69</f>
        <v>2310</v>
      </c>
      <c r="I69" s="84">
        <f t="shared" si="31"/>
        <v>1920.4913951736191</v>
      </c>
      <c r="J69" s="85">
        <f>References!$C$49*I69</f>
        <v>5.9823306959658096</v>
      </c>
      <c r="K69" s="85">
        <f>J69/References!$G$52</f>
        <v>6.1342293601572671</v>
      </c>
      <c r="L69" s="85">
        <f>K69/F69</f>
        <v>6.1342293601572671</v>
      </c>
      <c r="M69" s="85">
        <v>353.29</v>
      </c>
      <c r="N69" s="86">
        <f>L69+M69</f>
        <v>359.42422936015731</v>
      </c>
      <c r="O69" s="121"/>
      <c r="P69" s="104"/>
      <c r="Q69" s="103"/>
      <c r="R69" s="104"/>
    </row>
    <row r="70" spans="1:18" x14ac:dyDescent="0.2">
      <c r="A70" s="169"/>
      <c r="B70" s="120">
        <v>36</v>
      </c>
      <c r="C70" s="130" t="s">
        <v>159</v>
      </c>
      <c r="D70" s="101"/>
      <c r="E70" s="101"/>
      <c r="F70" s="68">
        <v>1</v>
      </c>
      <c r="G70" s="69">
        <f>References!B13</f>
        <v>20</v>
      </c>
      <c r="H70" s="68">
        <f>F70*G70</f>
        <v>20</v>
      </c>
      <c r="I70" s="84">
        <f t="shared" si="31"/>
        <v>16.627631127044321</v>
      </c>
      <c r="J70" s="85">
        <f>References!$C$49*I70</f>
        <v>5.1795070960742942E-2</v>
      </c>
      <c r="K70" s="85">
        <f>J70/References!$G$52</f>
        <v>5.3110210910452531E-2</v>
      </c>
      <c r="L70" s="85">
        <f>K70/F70</f>
        <v>5.3110210910452531E-2</v>
      </c>
      <c r="M70" s="85">
        <v>17.12</v>
      </c>
      <c r="N70" s="86">
        <f>L70+M70</f>
        <v>17.173110210910455</v>
      </c>
      <c r="O70" s="121"/>
      <c r="P70" s="104"/>
      <c r="Q70" s="103"/>
      <c r="R70" s="104"/>
    </row>
    <row r="71" spans="1:18" x14ac:dyDescent="0.2">
      <c r="A71" s="169"/>
      <c r="B71" s="120">
        <v>36</v>
      </c>
      <c r="C71" s="130" t="s">
        <v>160</v>
      </c>
      <c r="D71" s="101"/>
      <c r="E71" s="101"/>
      <c r="F71" s="68">
        <v>1</v>
      </c>
      <c r="G71" s="69">
        <f>References!B13</f>
        <v>20</v>
      </c>
      <c r="H71" s="68">
        <f>F71*G71</f>
        <v>20</v>
      </c>
      <c r="I71" s="84">
        <f t="shared" si="31"/>
        <v>16.627631127044321</v>
      </c>
      <c r="J71" s="85">
        <f>References!$C$49*I71</f>
        <v>5.1795070960742942E-2</v>
      </c>
      <c r="K71" s="85">
        <f>J71/References!$G$52</f>
        <v>5.3110210910452531E-2</v>
      </c>
      <c r="L71" s="85">
        <f>K71/F71</f>
        <v>5.3110210910452531E-2</v>
      </c>
      <c r="M71" s="85">
        <v>8.32</v>
      </c>
      <c r="N71" s="86">
        <f>L71+M71</f>
        <v>8.3731102109104523</v>
      </c>
      <c r="O71" s="121"/>
      <c r="P71" s="104"/>
      <c r="Q71" s="103"/>
      <c r="R71" s="104"/>
    </row>
    <row r="72" spans="1:18" x14ac:dyDescent="0.2">
      <c r="A72" s="169"/>
      <c r="B72" s="132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21"/>
      <c r="P72" s="104"/>
      <c r="Q72" s="104"/>
      <c r="R72" s="104"/>
    </row>
    <row r="73" spans="1:18" x14ac:dyDescent="0.2">
      <c r="A73" s="89"/>
      <c r="B73" s="120"/>
      <c r="C73" s="117"/>
      <c r="D73" s="101"/>
      <c r="E73" s="101"/>
      <c r="F73" s="68"/>
      <c r="G73" s="69"/>
      <c r="H73" s="68"/>
      <c r="I73" s="84"/>
      <c r="J73" s="85"/>
      <c r="K73" s="85"/>
      <c r="L73" s="85"/>
      <c r="M73" s="103"/>
      <c r="N73" s="85"/>
      <c r="O73" s="121"/>
      <c r="P73" s="104"/>
      <c r="Q73" s="104"/>
      <c r="R73" s="104"/>
    </row>
    <row r="74" spans="1:18" x14ac:dyDescent="0.2">
      <c r="A74" s="117"/>
      <c r="B74" s="120"/>
      <c r="C74" s="117"/>
      <c r="D74" s="134"/>
      <c r="E74" s="101"/>
      <c r="F74" s="82"/>
      <c r="G74" s="82"/>
      <c r="H74" s="82"/>
      <c r="I74" s="84"/>
      <c r="J74" s="85"/>
      <c r="K74" s="85"/>
      <c r="L74" s="85"/>
      <c r="M74" s="103"/>
      <c r="N74" s="85"/>
      <c r="O74" s="104"/>
      <c r="P74" s="104"/>
      <c r="Q74" s="104"/>
      <c r="R74" s="104"/>
    </row>
    <row r="75" spans="1:18" x14ac:dyDescent="0.2">
      <c r="A75" s="135"/>
      <c r="B75" s="136"/>
      <c r="C75" s="137"/>
      <c r="D75" s="109"/>
      <c r="E75" s="104"/>
      <c r="F75" s="104"/>
      <c r="G75" s="104"/>
      <c r="H75" s="104"/>
      <c r="I75" s="110"/>
      <c r="J75" s="104"/>
      <c r="K75" s="104"/>
      <c r="L75" s="104"/>
      <c r="M75" s="104"/>
      <c r="N75" s="104"/>
      <c r="O75" s="104"/>
      <c r="P75" s="104"/>
      <c r="Q75" s="104"/>
      <c r="R75" s="104"/>
    </row>
    <row r="76" spans="1:18" x14ac:dyDescent="0.2">
      <c r="A76" s="135"/>
      <c r="B76" s="138" t="s">
        <v>129</v>
      </c>
      <c r="C76" s="139"/>
      <c r="D76" s="104"/>
      <c r="E76" s="130"/>
      <c r="F76" s="130"/>
      <c r="G76" s="104"/>
      <c r="H76" s="140"/>
      <c r="I76" s="110"/>
      <c r="J76" s="104"/>
      <c r="K76" s="104"/>
      <c r="L76" s="104"/>
      <c r="M76" s="104"/>
      <c r="N76" s="104"/>
      <c r="O76" s="104"/>
      <c r="P76" s="104"/>
      <c r="Q76" s="104"/>
      <c r="R76" s="104"/>
    </row>
    <row r="77" spans="1:18" x14ac:dyDescent="0.2">
      <c r="A77" s="135"/>
      <c r="B77" s="104"/>
      <c r="C77" s="141" t="s">
        <v>31</v>
      </c>
      <c r="D77" s="104"/>
      <c r="E77" s="142"/>
      <c r="F77" s="142"/>
      <c r="G77" s="104"/>
      <c r="H77" s="140"/>
      <c r="I77" s="110"/>
      <c r="J77" s="143"/>
      <c r="K77" s="104"/>
      <c r="L77" s="104"/>
      <c r="M77" s="104"/>
      <c r="N77" s="104"/>
      <c r="O77" s="109"/>
      <c r="P77" s="104"/>
      <c r="Q77" s="104"/>
      <c r="R77" s="104"/>
    </row>
    <row r="78" spans="1:18" x14ac:dyDescent="0.2">
      <c r="A78" s="135"/>
      <c r="B78" s="104" t="s">
        <v>130</v>
      </c>
      <c r="C78" s="144">
        <f>References!B54</f>
        <v>25748.370664293929</v>
      </c>
      <c r="D78" s="104"/>
      <c r="E78" s="110"/>
      <c r="F78" s="110"/>
      <c r="G78" s="145"/>
      <c r="H78" s="146"/>
      <c r="I78" s="82"/>
      <c r="J78" s="143"/>
      <c r="K78" s="104"/>
      <c r="L78" s="104"/>
      <c r="M78" s="104"/>
      <c r="N78" s="104"/>
      <c r="O78" s="109"/>
      <c r="P78" s="104"/>
      <c r="Q78" s="104"/>
      <c r="R78" s="104"/>
    </row>
    <row r="79" spans="1:18" x14ac:dyDescent="0.2">
      <c r="A79" s="135"/>
      <c r="B79" s="104" t="s">
        <v>131</v>
      </c>
      <c r="C79" s="118">
        <f>C78*2000</f>
        <v>51496741.32858786</v>
      </c>
      <c r="D79" s="104"/>
      <c r="E79" s="147"/>
      <c r="F79" s="147"/>
      <c r="G79" s="147"/>
      <c r="H79" s="148"/>
      <c r="I79" s="110"/>
      <c r="J79" s="143"/>
      <c r="K79" s="104"/>
      <c r="L79" s="104"/>
      <c r="M79" s="104"/>
      <c r="N79" s="104"/>
      <c r="O79" s="104"/>
      <c r="P79" s="104"/>
      <c r="Q79" s="104"/>
      <c r="R79" s="104"/>
    </row>
    <row r="80" spans="1:18" x14ac:dyDescent="0.2">
      <c r="A80" s="135"/>
      <c r="B80" s="104" t="s">
        <v>132</v>
      </c>
      <c r="C80" s="118">
        <f>F34</f>
        <v>928146</v>
      </c>
      <c r="D80" s="104"/>
      <c r="E80" s="110"/>
      <c r="F80" s="110"/>
      <c r="G80" s="110"/>
      <c r="H80" s="104"/>
      <c r="I80" s="82"/>
      <c r="J80" s="143"/>
      <c r="K80" s="104"/>
      <c r="L80" s="104"/>
      <c r="M80" s="104"/>
      <c r="N80" s="104"/>
      <c r="O80" s="109"/>
      <c r="P80" s="104"/>
      <c r="Q80" s="104"/>
      <c r="R80" s="104"/>
    </row>
    <row r="81" spans="1:18" x14ac:dyDescent="0.2">
      <c r="A81" s="104"/>
      <c r="B81" s="149" t="s">
        <v>133</v>
      </c>
      <c r="C81" s="150">
        <f>C79/$H$34</f>
        <v>0.83138155635221611</v>
      </c>
      <c r="D81" s="104"/>
      <c r="E81" s="151"/>
      <c r="F81" s="151"/>
      <c r="G81" s="151"/>
      <c r="H81" s="152"/>
      <c r="I81" s="110"/>
      <c r="J81" s="143"/>
      <c r="K81" s="104"/>
      <c r="L81" s="104"/>
      <c r="M81" s="153"/>
      <c r="N81" s="153"/>
      <c r="O81" s="154"/>
      <c r="P81" s="104"/>
      <c r="Q81" s="104"/>
      <c r="R81" s="104"/>
    </row>
    <row r="82" spans="1:18" x14ac:dyDescent="0.2">
      <c r="A82" s="104"/>
      <c r="B82" s="136"/>
      <c r="C82" s="104"/>
      <c r="D82" s="109"/>
      <c r="E82" s="143"/>
      <c r="F82" s="104"/>
      <c r="G82" s="155"/>
      <c r="H82" s="156"/>
      <c r="I82" s="110"/>
      <c r="J82" s="143"/>
      <c r="K82" s="104"/>
      <c r="L82" s="104"/>
      <c r="M82" s="157"/>
      <c r="N82" s="158"/>
      <c r="O82" s="159"/>
      <c r="P82" s="104"/>
      <c r="Q82" s="104"/>
      <c r="R82" s="104"/>
    </row>
    <row r="83" spans="1:18" x14ac:dyDescent="0.2">
      <c r="A83" s="104"/>
      <c r="B83" s="136"/>
      <c r="C83" s="104"/>
      <c r="D83" s="160"/>
      <c r="E83" s="161"/>
      <c r="F83" s="104"/>
      <c r="G83" s="155"/>
      <c r="H83" s="156"/>
      <c r="I83" s="110"/>
      <c r="J83" s="143"/>
      <c r="K83" s="104"/>
      <c r="L83" s="104"/>
      <c r="M83" s="157"/>
      <c r="N83" s="158"/>
      <c r="O83" s="159"/>
      <c r="P83" s="104"/>
      <c r="Q83" s="104"/>
      <c r="R83" s="104"/>
    </row>
    <row r="84" spans="1:18" x14ac:dyDescent="0.2">
      <c r="A84" s="104"/>
      <c r="B84" s="136"/>
      <c r="C84" s="104"/>
      <c r="D84" s="160"/>
      <c r="E84" s="161"/>
      <c r="F84" s="104"/>
      <c r="G84" s="155"/>
      <c r="H84" s="156"/>
      <c r="I84" s="110"/>
      <c r="J84" s="143"/>
      <c r="K84" s="104"/>
      <c r="L84" s="104"/>
      <c r="M84" s="157"/>
      <c r="N84" s="158"/>
      <c r="O84" s="159"/>
      <c r="P84" s="104"/>
      <c r="Q84" s="104"/>
      <c r="R84" s="104"/>
    </row>
    <row r="85" spans="1:18" x14ac:dyDescent="0.2">
      <c r="A85" s="104"/>
      <c r="B85" s="136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</row>
  </sheetData>
  <mergeCells count="4">
    <mergeCell ref="A2:A10"/>
    <mergeCell ref="A16:A32"/>
    <mergeCell ref="A38:A41"/>
    <mergeCell ref="A42:A72"/>
  </mergeCells>
  <pageMargins left="0.45" right="0.45" top="0.25" bottom="0.25" header="0.3" footer="0.3"/>
  <pageSetup scale="55" orientation="landscape" r:id="rId1"/>
  <ignoredErrors>
    <ignoredError sqref="I1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482BDF83CF9147AF0A72FEB2F58D39" ma:contentTypeVersion="76" ma:contentTypeDescription="" ma:contentTypeScope="" ma:versionID="a28279b0eceeb0bfbcdcb835e97a5cd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2018-11-13T08:00:00+00:00</OpenedDate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</CaseCompanyNames>
    <DocketNumber xmlns="dc463f71-b30c-4ab2-9473-d307f9d35888">180924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994FC2-1850-4BD3-8BBB-DE0A4E497AA2}"/>
</file>

<file path=customXml/itemProps2.xml><?xml version="1.0" encoding="utf-8"?>
<ds:datastoreItem xmlns:ds="http://schemas.openxmlformats.org/officeDocument/2006/customXml" ds:itemID="{74459D67-25FA-40BB-9EFE-4EBEB8C3C954}"/>
</file>

<file path=customXml/itemProps3.xml><?xml version="1.0" encoding="utf-8"?>
<ds:datastoreItem xmlns:ds="http://schemas.openxmlformats.org/officeDocument/2006/customXml" ds:itemID="{E02EDC31-408A-43CF-B5EB-08DFC2A6A9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A5D116-70AE-4FD9-BB0B-BD17E814E6DC}">
  <ds:schemaRefs>
    <ds:schemaRef ds:uri="http://schemas.microsoft.com/office/2006/metadata/properties"/>
    <ds:schemaRef ds:uri="dc463f71-b30c-4ab2-9473-d307f9d3588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Revenue &amp; Expense Adj.</vt:lpstr>
      <vt:lpstr>References</vt:lpstr>
      <vt:lpstr>Priceout</vt:lpstr>
      <vt:lpstr>Priceout!Print_Area</vt:lpstr>
      <vt:lpstr>'Revenue &amp; Expense Adj.'!Print_Area</vt:lpstr>
    </vt:vector>
  </TitlesOfParts>
  <Manager/>
  <Company>Waste Management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Weinstein, Mike</dc:creator>
  <cp:keywords/>
  <dc:description/>
  <cp:lastModifiedBy>Weinstein, Mike</cp:lastModifiedBy>
  <cp:lastPrinted>2018-11-01T22:08:46Z</cp:lastPrinted>
  <dcterms:created xsi:type="dcterms:W3CDTF">2016-09-23T16:56:42Z</dcterms:created>
  <dcterms:modified xsi:type="dcterms:W3CDTF">2018-11-01T22:08:52Z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0x0101006E56B4D1795A2E4DB2F0B01679ED314A00F8482BDF83CF9147AF0A72FEB2F58D39</vt:lpwstr>
  </property>
  <property fmtid="{D5CDD505-2E9C-101B-9397-08002B2CF9AE}" pid="3" name="_docset_NoMedatataSyncRequired">
    <vt:lpwstr>False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IsEFSEC">
    <vt:bool>false</vt:bool>
  </property>
</Properties>
</file>