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2.xml" ContentType="application/vnd.openxmlformats-officedocument.spreadsheetml.comment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omments4.xml" ContentType="application/vnd.openxmlformats-officedocument.spreadsheetml.comments+xml"/>
  <Override PartName="/xl/comments3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408" firstSheet="1" activeTab="1"/>
  </bookViews>
  <sheets>
    <sheet name="wp6 14 18 Forecast Usage by Sch" sheetId="13" r:id="rId1"/>
    <sheet name="Nat Gas 2017 Rate Calc" sheetId="7" r:id="rId2"/>
    <sheet name="Electric 2015 Rate Calc" sheetId="4" state="hidden" r:id="rId3"/>
    <sheet name="Prior Year Amortization" sheetId="14" r:id="rId4"/>
    <sheet name="Earnings Test and 3% Test" sheetId="6" r:id="rId5"/>
    <sheet name="Conversion Factors" sheetId="2" r:id="rId6"/>
    <sheet name="Bill Impact" sheetId="15" r:id="rId7"/>
    <sheet name="Nat Gas 2015carryover Rate Calc" sheetId="8" state="hidden" r:id="rId8"/>
  </sheets>
  <definedNames>
    <definedName name="_xlnm.Print_Area" localSheetId="5">'Conversion Factors'!$A$1:$F$116</definedName>
    <definedName name="_xlnm.Print_Area" localSheetId="4">'Earnings Test and 3% Test'!$A$1:$G$66</definedName>
    <definedName name="_xlnm.Print_Area" localSheetId="2">'Electric 2015 Rate Calc'!$A$1:$L$81</definedName>
    <definedName name="_xlnm.Print_Area" localSheetId="7">'Nat Gas 2015carryover Rate Calc'!$A$1:$J$60</definedName>
    <definedName name="_xlnm.Print_Area" localSheetId="1">'Nat Gas 2017 Rate Calc'!$A$1:$L$91</definedName>
    <definedName name="_xlnm.Print_Titles" localSheetId="4">'Earnings Test and 3% Test'!$1:$4</definedName>
    <definedName name="_xlnm.Print_Titles" localSheetId="2">'Electric 2015 Rate Calc'!$1:$3</definedName>
    <definedName name="Z_5C6B1FA1_B621_4699_B8F7_5011E8FF1BCD_.wvu.PrintArea" localSheetId="5" hidden="1">'Conversion Factors'!$A$1:$F$114</definedName>
    <definedName name="Z_5C6B1FA1_B621_4699_B8F7_5011E8FF1BCD_.wvu.PrintArea" localSheetId="4" hidden="1">'Earnings Test and 3% Test'!$B$1:$G$65</definedName>
    <definedName name="Z_5C6B1FA1_B621_4699_B8F7_5011E8FF1BCD_.wvu.PrintArea" localSheetId="2" hidden="1">'Electric 2015 Rate Calc'!$B$1:$K$70</definedName>
    <definedName name="Z_5C6B1FA1_B621_4699_B8F7_5011E8FF1BCD_.wvu.PrintArea" localSheetId="7" hidden="1">'Nat Gas 2015carryover Rate Calc'!$A$1:$J$60</definedName>
    <definedName name="Z_5C6B1FA1_B621_4699_B8F7_5011E8FF1BCD_.wvu.PrintArea" localSheetId="1" hidden="1">'Nat Gas 2017 Rate Calc'!$B$1:$K$71</definedName>
    <definedName name="Z_5C6B1FA1_B621_4699_B8F7_5011E8FF1BCD_.wvu.PrintTitles" localSheetId="4" hidden="1">'Earnings Test and 3% Test'!$1:$4</definedName>
    <definedName name="Z_5C6B1FA1_B621_4699_B8F7_5011E8FF1BCD_.wvu.PrintTitles" localSheetId="2" hidden="1">'Electric 2015 Rate Calc'!$1:$3</definedName>
    <definedName name="Z_5C6B1FA1_B621_4699_B8F7_5011E8FF1BCD_.wvu.Rows" localSheetId="5" hidden="1">'Conversion Factors'!$1:$88</definedName>
    <definedName name="Z_6A207E9B_31ED_4215_AD4F_ABB2957B65E4_.wvu.PrintArea" localSheetId="5" hidden="1">'Conversion Factors'!$A$1:$F$114</definedName>
    <definedName name="Z_6A207E9B_31ED_4215_AD4F_ABB2957B65E4_.wvu.PrintArea" localSheetId="4" hidden="1">'Earnings Test and 3% Test'!$I$6:$S$48</definedName>
    <definedName name="Z_6A207E9B_31ED_4215_AD4F_ABB2957B65E4_.wvu.PrintArea" localSheetId="2" hidden="1">'Electric 2015 Rate Calc'!$B$1:$K$70</definedName>
    <definedName name="Z_6A207E9B_31ED_4215_AD4F_ABB2957B65E4_.wvu.PrintArea" localSheetId="7" hidden="1">'Nat Gas 2015carryover Rate Calc'!$A$1:$J$60</definedName>
    <definedName name="Z_6A207E9B_31ED_4215_AD4F_ABB2957B65E4_.wvu.PrintArea" localSheetId="1" hidden="1">'Nat Gas 2017 Rate Calc'!$B$1:$K$71</definedName>
    <definedName name="Z_6A207E9B_31ED_4215_AD4F_ABB2957B65E4_.wvu.PrintTitles" localSheetId="4" hidden="1">'Earnings Test and 3% Test'!$1:$4</definedName>
    <definedName name="Z_6A207E9B_31ED_4215_AD4F_ABB2957B65E4_.wvu.PrintTitles" localSheetId="2" hidden="1">'Electric 2015 Rate Calc'!$1:$3</definedName>
    <definedName name="Z_6A207E9B_31ED_4215_AD4F_ABB2957B65E4_.wvu.Rows" localSheetId="5" hidden="1">'Conversion Factors'!$1:$88</definedName>
  </definedNames>
  <calcPr calcId="152511"/>
  <customWorkbookViews>
    <customWorkbookView name="Earnings Test" guid="{5C6B1FA1-B621-4699-B8F7-5011E8FF1BCD}" maximized="1" xWindow="-9" yWindow="-9" windowWidth="1938" windowHeight="1050" activeSheetId="6"/>
    <customWorkbookView name="Provision Analysis" guid="{6A207E9B-31ED-4215-AD4F-ABB2957B65E4}" maximized="1" xWindow="-9" yWindow="-9" windowWidth="1938" windowHeight="1050" activeSheetId="6"/>
  </customWorkbookViews>
</workbook>
</file>

<file path=xl/calcChain.xml><?xml version="1.0" encoding="utf-8"?>
<calcChain xmlns="http://schemas.openxmlformats.org/spreadsheetml/2006/main">
  <c r="K30" i="7" l="1"/>
  <c r="E30" i="7"/>
  <c r="D15" i="15" l="1"/>
  <c r="L16" i="15" l="1"/>
  <c r="L15" i="15" s="1"/>
  <c r="E32" i="15"/>
  <c r="C33" i="15"/>
  <c r="C31" i="15"/>
  <c r="E30" i="15"/>
  <c r="E29" i="15"/>
  <c r="E28" i="15"/>
  <c r="E27" i="15"/>
  <c r="L14" i="15"/>
  <c r="L13" i="15" s="1"/>
  <c r="E31" i="15" l="1"/>
  <c r="E33" i="15" s="1"/>
  <c r="D13" i="15" l="1"/>
  <c r="D11" i="15"/>
  <c r="N5" i="13" l="1"/>
  <c r="G28" i="14"/>
  <c r="G31" i="14"/>
  <c r="G34" i="14"/>
  <c r="G26" i="14"/>
  <c r="C26" i="14"/>
  <c r="D9" i="14"/>
  <c r="B26" i="14"/>
  <c r="B10" i="14"/>
  <c r="B27" i="14" s="1"/>
  <c r="C9" i="14"/>
  <c r="B71" i="7"/>
  <c r="B62" i="7"/>
  <c r="B63" i="7"/>
  <c r="B64" i="7" s="1"/>
  <c r="B65" i="7" s="1"/>
  <c r="B66" i="7" s="1"/>
  <c r="B67" i="7" s="1"/>
  <c r="B68" i="7" s="1"/>
  <c r="B69" i="7" s="1"/>
  <c r="B70" i="7" s="1"/>
  <c r="B61" i="7"/>
  <c r="B60" i="7"/>
  <c r="B58" i="7"/>
  <c r="B51" i="7"/>
  <c r="B52" i="7" s="1"/>
  <c r="B53" i="7" s="1"/>
  <c r="B54" i="7" s="1"/>
  <c r="B55" i="7" s="1"/>
  <c r="B56" i="7" s="1"/>
  <c r="B57" i="7" s="1"/>
  <c r="B50" i="7"/>
  <c r="B49" i="7"/>
  <c r="F51" i="7"/>
  <c r="F53" i="7"/>
  <c r="L53" i="7" s="1"/>
  <c r="F54" i="7"/>
  <c r="L50" i="7"/>
  <c r="L51" i="7"/>
  <c r="L52" i="7"/>
  <c r="L49" i="7"/>
  <c r="F50" i="7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9" i="7"/>
  <c r="B11" i="14" l="1"/>
  <c r="F56" i="7"/>
  <c r="L55" i="7"/>
  <c r="L54" i="7"/>
  <c r="A21" i="13"/>
  <c r="A22" i="13"/>
  <c r="A6" i="13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B12" i="14" l="1"/>
  <c r="B28" i="14"/>
  <c r="F57" i="7"/>
  <c r="L56" i="7"/>
  <c r="C42" i="15"/>
  <c r="D24" i="15" s="1"/>
  <c r="E41" i="15"/>
  <c r="E40" i="15"/>
  <c r="E39" i="15"/>
  <c r="J29" i="15"/>
  <c r="E38" i="15"/>
  <c r="J28" i="15"/>
  <c r="E37" i="15"/>
  <c r="J27" i="15"/>
  <c r="E36" i="15"/>
  <c r="M19" i="15"/>
  <c r="M18" i="15"/>
  <c r="J17" i="15"/>
  <c r="H17" i="15"/>
  <c r="F17" i="15"/>
  <c r="L24" i="15"/>
  <c r="J15" i="15"/>
  <c r="F15" i="15"/>
  <c r="J13" i="15"/>
  <c r="H13" i="15"/>
  <c r="F13" i="15"/>
  <c r="J11" i="15"/>
  <c r="I31" i="15" s="1"/>
  <c r="J31" i="15" s="1"/>
  <c r="H11" i="15"/>
  <c r="F11" i="15"/>
  <c r="G11" i="15" s="1"/>
  <c r="J30" i="15" l="1"/>
  <c r="J33" i="15" s="1"/>
  <c r="H15" i="15"/>
  <c r="G15" i="15" s="1"/>
  <c r="M15" i="15" s="1"/>
  <c r="D22" i="15"/>
  <c r="G17" i="15"/>
  <c r="F24" i="15"/>
  <c r="G13" i="15"/>
  <c r="M13" i="15" s="1"/>
  <c r="E42" i="15"/>
  <c r="H22" i="15"/>
  <c r="B13" i="14"/>
  <c r="B29" i="14"/>
  <c r="L57" i="7"/>
  <c r="F58" i="7"/>
  <c r="M11" i="15"/>
  <c r="L22" i="15"/>
  <c r="F22" i="15"/>
  <c r="H24" i="15"/>
  <c r="J32" i="15" l="1"/>
  <c r="G22" i="15"/>
  <c r="M22" i="15" s="1"/>
  <c r="G24" i="15"/>
  <c r="M24" i="15" s="1"/>
  <c r="B14" i="14"/>
  <c r="B30" i="14"/>
  <c r="F59" i="7"/>
  <c r="L58" i="7"/>
  <c r="B15" i="14" l="1"/>
  <c r="B31" i="14"/>
  <c r="F60" i="7"/>
  <c r="L59" i="7"/>
  <c r="B16" i="14" l="1"/>
  <c r="B32" i="14"/>
  <c r="F61" i="7"/>
  <c r="L60" i="7"/>
  <c r="B17" i="14" l="1"/>
  <c r="B33" i="14"/>
  <c r="L61" i="7"/>
  <c r="F62" i="7"/>
  <c r="J7" i="7"/>
  <c r="B18" i="14" l="1"/>
  <c r="B34" i="14"/>
  <c r="F63" i="7"/>
  <c r="L62" i="7"/>
  <c r="H47" i="7"/>
  <c r="H48" i="7"/>
  <c r="H49" i="7"/>
  <c r="H50" i="7"/>
  <c r="H51" i="7"/>
  <c r="H52" i="7"/>
  <c r="H53" i="7"/>
  <c r="H54" i="7"/>
  <c r="H55" i="7"/>
  <c r="H56" i="7"/>
  <c r="H57" i="7"/>
  <c r="H58" i="7"/>
  <c r="H60" i="7"/>
  <c r="H61" i="7"/>
  <c r="H62" i="7"/>
  <c r="H63" i="7"/>
  <c r="H64" i="7"/>
  <c r="H65" i="7"/>
  <c r="H66" i="7"/>
  <c r="H67" i="7"/>
  <c r="H68" i="7"/>
  <c r="H69" i="7"/>
  <c r="H70" i="7"/>
  <c r="H71" i="7"/>
  <c r="H46" i="7"/>
  <c r="B19" i="14" l="1"/>
  <c r="B35" i="14"/>
  <c r="F64" i="7"/>
  <c r="L63" i="7"/>
  <c r="H43" i="7"/>
  <c r="B20" i="14" l="1"/>
  <c r="B37" i="14" s="1"/>
  <c r="B36" i="14"/>
  <c r="F65" i="7"/>
  <c r="L64" i="7"/>
  <c r="D26" i="14"/>
  <c r="F26" i="14" s="1"/>
  <c r="C27" i="14" s="1"/>
  <c r="G18" i="14"/>
  <c r="G35" i="14" s="1"/>
  <c r="G15" i="14"/>
  <c r="G12" i="14"/>
  <c r="G10" i="14"/>
  <c r="G27" i="14" s="1"/>
  <c r="F9" i="14"/>
  <c r="C10" i="14" s="1"/>
  <c r="D10" i="14" s="1"/>
  <c r="H9" i="7"/>
  <c r="H10" i="7"/>
  <c r="H11" i="7"/>
  <c r="H12" i="7"/>
  <c r="H13" i="7"/>
  <c r="H14" i="7"/>
  <c r="H15" i="7"/>
  <c r="H16" i="7"/>
  <c r="H17" i="7"/>
  <c r="H18" i="7"/>
  <c r="H19" i="7"/>
  <c r="H20" i="7"/>
  <c r="H8" i="7"/>
  <c r="H3" i="7"/>
  <c r="M11" i="13"/>
  <c r="E11" i="7" s="1"/>
  <c r="N11" i="13"/>
  <c r="K11" i="7" s="1"/>
  <c r="G13" i="14" l="1"/>
  <c r="G30" i="14" s="1"/>
  <c r="G29" i="14"/>
  <c r="G16" i="14"/>
  <c r="G33" i="14" s="1"/>
  <c r="G32" i="14"/>
  <c r="G19" i="14"/>
  <c r="L65" i="7"/>
  <c r="F66" i="7"/>
  <c r="F10" i="14"/>
  <c r="C11" i="14" s="1"/>
  <c r="D27" i="14"/>
  <c r="F27" i="14" s="1"/>
  <c r="C28" i="14" s="1"/>
  <c r="G20" i="14" l="1"/>
  <c r="G37" i="14" s="1"/>
  <c r="G36" i="14"/>
  <c r="F67" i="7"/>
  <c r="L66" i="7"/>
  <c r="D28" i="14"/>
  <c r="F28" i="14" s="1"/>
  <c r="C29" i="14" s="1"/>
  <c r="D11" i="14"/>
  <c r="F11" i="14" s="1"/>
  <c r="C12" i="14" s="1"/>
  <c r="F68" i="7" l="1"/>
  <c r="L67" i="7"/>
  <c r="D12" i="14"/>
  <c r="F12" i="14" s="1"/>
  <c r="C13" i="14" s="1"/>
  <c r="D29" i="14"/>
  <c r="F29" i="14" s="1"/>
  <c r="C30" i="14" s="1"/>
  <c r="F69" i="7" l="1"/>
  <c r="L68" i="7"/>
  <c r="D30" i="14"/>
  <c r="F30" i="14" s="1"/>
  <c r="C31" i="14" s="1"/>
  <c r="D13" i="14"/>
  <c r="F13" i="14" s="1"/>
  <c r="C14" i="14" s="1"/>
  <c r="L69" i="7" l="1"/>
  <c r="F70" i="7"/>
  <c r="D14" i="14"/>
  <c r="F14" i="14" s="1"/>
  <c r="C15" i="14" s="1"/>
  <c r="D31" i="14"/>
  <c r="F31" i="14" s="1"/>
  <c r="C32" i="14" s="1"/>
  <c r="F71" i="7" l="1"/>
  <c r="L71" i="7" s="1"/>
  <c r="L70" i="7"/>
  <c r="D32" i="14"/>
  <c r="F32" i="14" s="1"/>
  <c r="C33" i="14" s="1"/>
  <c r="D15" i="14"/>
  <c r="F15" i="14" s="1"/>
  <c r="C16" i="14" s="1"/>
  <c r="D16" i="14" l="1"/>
  <c r="F16" i="14" s="1"/>
  <c r="C17" i="14" s="1"/>
  <c r="D33" i="14"/>
  <c r="F33" i="14" s="1"/>
  <c r="C34" i="14" s="1"/>
  <c r="D34" i="14" l="1"/>
  <c r="F34" i="14" s="1"/>
  <c r="C35" i="14" s="1"/>
  <c r="D17" i="14"/>
  <c r="F17" i="14" s="1"/>
  <c r="C18" i="14" s="1"/>
  <c r="F40" i="6" l="1"/>
  <c r="E40" i="6"/>
  <c r="I76" i="7" l="1"/>
  <c r="C76" i="7"/>
  <c r="I75" i="4" l="1"/>
  <c r="C75" i="4"/>
  <c r="J45" i="4" l="1"/>
  <c r="K11" i="4" l="1"/>
  <c r="K13" i="4"/>
  <c r="K15" i="4"/>
  <c r="K17" i="4"/>
  <c r="K19" i="4"/>
  <c r="K9" i="4"/>
  <c r="E13" i="4"/>
  <c r="E17" i="4"/>
  <c r="E9" i="4"/>
  <c r="N22" i="13"/>
  <c r="M22" i="13"/>
  <c r="N21" i="13"/>
  <c r="M21" i="13"/>
  <c r="N20" i="13"/>
  <c r="M20" i="13"/>
  <c r="N19" i="13"/>
  <c r="M19" i="13"/>
  <c r="N18" i="13"/>
  <c r="M18" i="13"/>
  <c r="N17" i="13"/>
  <c r="M17" i="13"/>
  <c r="N16" i="13"/>
  <c r="M16" i="13"/>
  <c r="N15" i="13"/>
  <c r="M15" i="13"/>
  <c r="N14" i="13"/>
  <c r="M14" i="13"/>
  <c r="N13" i="13"/>
  <c r="M13" i="13"/>
  <c r="N12" i="13"/>
  <c r="M12" i="13"/>
  <c r="J11" i="8"/>
  <c r="D11" i="8"/>
  <c r="N10" i="13"/>
  <c r="M10" i="13"/>
  <c r="N9" i="13"/>
  <c r="M9" i="13"/>
  <c r="K20" i="4"/>
  <c r="E20" i="4"/>
  <c r="N8" i="13"/>
  <c r="H37" i="14" s="1"/>
  <c r="E37" i="14" s="1"/>
  <c r="M8" i="13"/>
  <c r="H20" i="14" s="1"/>
  <c r="E20" i="14" s="1"/>
  <c r="E19" i="4"/>
  <c r="N7" i="13"/>
  <c r="H36" i="14" s="1"/>
  <c r="E36" i="14" s="1"/>
  <c r="M7" i="13"/>
  <c r="H19" i="14" s="1"/>
  <c r="E19" i="14" s="1"/>
  <c r="K18" i="4"/>
  <c r="E18" i="4"/>
  <c r="N6" i="13"/>
  <c r="H35" i="14" s="1"/>
  <c r="M6" i="13"/>
  <c r="H18" i="14" s="1"/>
  <c r="M5" i="13"/>
  <c r="K16" i="4"/>
  <c r="E16" i="4"/>
  <c r="E15" i="4"/>
  <c r="K14" i="4"/>
  <c r="E14" i="4"/>
  <c r="K12" i="4"/>
  <c r="E12" i="4"/>
  <c r="E11" i="4"/>
  <c r="K10" i="4"/>
  <c r="E10" i="4"/>
  <c r="D18" i="14" l="1"/>
  <c r="F18" i="14" s="1"/>
  <c r="C19" i="14" s="1"/>
  <c r="D19" i="14" s="1"/>
  <c r="F19" i="14" s="1"/>
  <c r="C20" i="14" s="1"/>
  <c r="D20" i="14" s="1"/>
  <c r="F20" i="14" s="1"/>
  <c r="C59" i="7" s="1"/>
  <c r="C78" i="7" s="1"/>
  <c r="E18" i="14"/>
  <c r="E35" i="14"/>
  <c r="D35" i="14" s="1"/>
  <c r="F35" i="14" s="1"/>
  <c r="C36" i="14" s="1"/>
  <c r="D36" i="14" s="1"/>
  <c r="F36" i="14" s="1"/>
  <c r="C37" i="14" s="1"/>
  <c r="D37" i="14" s="1"/>
  <c r="F37" i="14" s="1"/>
  <c r="I59" i="7" s="1"/>
  <c r="I78" i="7" s="1"/>
  <c r="J13" i="8"/>
  <c r="K13" i="7"/>
  <c r="J17" i="8"/>
  <c r="K17" i="7"/>
  <c r="D10" i="8"/>
  <c r="E10" i="7"/>
  <c r="D12" i="8"/>
  <c r="E12" i="7"/>
  <c r="D14" i="8"/>
  <c r="E14" i="7"/>
  <c r="D16" i="8"/>
  <c r="E16" i="7"/>
  <c r="D18" i="8"/>
  <c r="E18" i="7"/>
  <c r="D20" i="8"/>
  <c r="E20" i="7"/>
  <c r="J9" i="8"/>
  <c r="K9" i="7"/>
  <c r="J10" i="8"/>
  <c r="K10" i="7"/>
  <c r="J12" i="8"/>
  <c r="K12" i="7"/>
  <c r="J14" i="8"/>
  <c r="K14" i="7"/>
  <c r="J16" i="8"/>
  <c r="K16" i="7"/>
  <c r="J18" i="8"/>
  <c r="K18" i="7"/>
  <c r="J20" i="8"/>
  <c r="K20" i="7"/>
  <c r="J15" i="8"/>
  <c r="K15" i="7"/>
  <c r="J19" i="8"/>
  <c r="K19" i="7"/>
  <c r="D9" i="8"/>
  <c r="E9" i="7"/>
  <c r="D13" i="8"/>
  <c r="E13" i="7"/>
  <c r="D15" i="8"/>
  <c r="E15" i="7"/>
  <c r="D17" i="8"/>
  <c r="E17" i="7"/>
  <c r="D19" i="8"/>
  <c r="E19" i="7"/>
  <c r="R11" i="8"/>
  <c r="R9" i="8"/>
  <c r="T11" i="8"/>
  <c r="T9" i="8"/>
  <c r="R23" i="8" l="1"/>
  <c r="R22" i="8"/>
  <c r="I46" i="8"/>
  <c r="G43" i="8"/>
  <c r="A43" i="8"/>
  <c r="D22" i="8"/>
  <c r="T22" i="8" s="1"/>
  <c r="T13" i="8" l="1"/>
  <c r="U9" i="8" s="1"/>
  <c r="R13" i="8"/>
  <c r="S9" i="8" s="1"/>
  <c r="J22" i="8"/>
  <c r="T23" i="8" s="1"/>
  <c r="R18" i="8" l="1"/>
  <c r="U11" i="8"/>
  <c r="U13" i="8" s="1"/>
  <c r="T18" i="8"/>
  <c r="S11" i="8"/>
  <c r="S13" i="8" s="1"/>
  <c r="J7" i="4" l="1"/>
  <c r="H42" i="7" l="1"/>
  <c r="B42" i="7"/>
  <c r="E22" i="7"/>
  <c r="E42" i="6" s="1"/>
  <c r="E30" i="6"/>
  <c r="K22" i="7" l="1"/>
  <c r="F42" i="6" s="1"/>
  <c r="F28" i="6"/>
  <c r="F26" i="6"/>
  <c r="F30" i="6" l="1"/>
  <c r="E13" i="6" l="1"/>
  <c r="E15" i="6" s="1"/>
  <c r="E17" i="6" l="1"/>
  <c r="C47" i="4" l="1"/>
  <c r="I47" i="4"/>
  <c r="I48" i="4" l="1"/>
  <c r="J49" i="4" s="1"/>
  <c r="I76" i="4"/>
  <c r="C48" i="4"/>
  <c r="D49" i="4" s="1"/>
  <c r="C76" i="4"/>
  <c r="I49" i="4" l="1"/>
  <c r="J50" i="4" s="1"/>
  <c r="C49" i="4"/>
  <c r="D50" i="4" s="1"/>
  <c r="H42" i="4"/>
  <c r="B42" i="4"/>
  <c r="E22" i="4"/>
  <c r="I50" i="4" l="1"/>
  <c r="J51" i="4" s="1"/>
  <c r="C50" i="4"/>
  <c r="D51" i="4" s="1"/>
  <c r="K22" i="4"/>
  <c r="E106" i="2"/>
  <c r="E108" i="2" s="1"/>
  <c r="E114" i="2" l="1"/>
  <c r="C51" i="4"/>
  <c r="D52" i="4" s="1"/>
  <c r="C52" i="4" s="1"/>
  <c r="I51" i="4"/>
  <c r="J52" i="4" s="1"/>
  <c r="E110" i="2"/>
  <c r="E112" i="2" s="1"/>
  <c r="E18" i="6" s="1"/>
  <c r="E19" i="6" s="1"/>
  <c r="E21" i="6" s="1"/>
  <c r="E34" i="6" l="1"/>
  <c r="F34" i="6" s="1"/>
  <c r="E35" i="6"/>
  <c r="D27" i="7"/>
  <c r="J27" i="7" s="1"/>
  <c r="C27" i="8"/>
  <c r="I27" i="8" s="1"/>
  <c r="D53" i="4"/>
  <c r="C53" i="4" s="1"/>
  <c r="I52" i="4"/>
  <c r="J53" i="4" s="1"/>
  <c r="F35" i="6" l="1"/>
  <c r="I47" i="7" s="1"/>
  <c r="E36" i="6"/>
  <c r="D54" i="4"/>
  <c r="I53" i="4"/>
  <c r="J54" i="4" s="1"/>
  <c r="I77" i="7" l="1"/>
  <c r="I48" i="7"/>
  <c r="J49" i="7" s="1"/>
  <c r="I49" i="7" s="1"/>
  <c r="J50" i="7" s="1"/>
  <c r="F36" i="6"/>
  <c r="C47" i="7"/>
  <c r="C54" i="4"/>
  <c r="I54" i="4"/>
  <c r="J55" i="4" s="1"/>
  <c r="I50" i="7" l="1"/>
  <c r="J51" i="7" s="1"/>
  <c r="C77" i="7"/>
  <c r="C48" i="7"/>
  <c r="D49" i="7" s="1"/>
  <c r="D55" i="4"/>
  <c r="C55" i="4" s="1"/>
  <c r="I55" i="4"/>
  <c r="J56" i="4" s="1"/>
  <c r="I51" i="7" l="1"/>
  <c r="J52" i="7" s="1"/>
  <c r="C49" i="7"/>
  <c r="D50" i="7" s="1"/>
  <c r="D56" i="4"/>
  <c r="C56" i="4" s="1"/>
  <c r="I56" i="4"/>
  <c r="J57" i="4" s="1"/>
  <c r="I52" i="7" l="1"/>
  <c r="J53" i="7" s="1"/>
  <c r="C50" i="7"/>
  <c r="D57" i="4"/>
  <c r="C57" i="4" s="1"/>
  <c r="I57" i="4"/>
  <c r="J58" i="4" s="1"/>
  <c r="D51" i="7" l="1"/>
  <c r="C51" i="7" s="1"/>
  <c r="D52" i="7" s="1"/>
  <c r="I53" i="7"/>
  <c r="J54" i="7" s="1"/>
  <c r="D58" i="4"/>
  <c r="C58" i="4" s="1"/>
  <c r="C8" i="4" s="1"/>
  <c r="C7" i="4" s="1"/>
  <c r="I58" i="4"/>
  <c r="C52" i="7" l="1"/>
  <c r="D53" i="7" s="1"/>
  <c r="I54" i="7"/>
  <c r="J55" i="7" s="1"/>
  <c r="I8" i="4"/>
  <c r="C53" i="7" l="1"/>
  <c r="I55" i="7"/>
  <c r="J56" i="7" s="1"/>
  <c r="D54" i="7" l="1"/>
  <c r="C54" i="7" s="1"/>
  <c r="I56" i="7"/>
  <c r="J57" i="7" s="1"/>
  <c r="D25" i="4"/>
  <c r="B35" i="4" s="1"/>
  <c r="D55" i="7" l="1"/>
  <c r="C55" i="7" s="1"/>
  <c r="I57" i="7"/>
  <c r="J58" i="7" s="1"/>
  <c r="C9" i="4"/>
  <c r="D56" i="7" l="1"/>
  <c r="C56" i="7" s="1"/>
  <c r="I58" i="7"/>
  <c r="C10" i="4"/>
  <c r="C11" i="4" s="1"/>
  <c r="D9" i="4"/>
  <c r="I8" i="7" l="1"/>
  <c r="I7" i="7" s="1"/>
  <c r="J25" i="7" s="1"/>
  <c r="H35" i="7" s="1"/>
  <c r="D57" i="7"/>
  <c r="C57" i="7" s="1"/>
  <c r="D10" i="4"/>
  <c r="C12" i="4"/>
  <c r="D11" i="4"/>
  <c r="J9" i="7" l="1"/>
  <c r="I9" i="7" s="1"/>
  <c r="J10" i="7" s="1"/>
  <c r="I10" i="7" s="1"/>
  <c r="J11" i="7" s="1"/>
  <c r="I11" i="7" s="1"/>
  <c r="J12" i="7" s="1"/>
  <c r="I12" i="7" s="1"/>
  <c r="J13" i="7" s="1"/>
  <c r="I13" i="7" s="1"/>
  <c r="J14" i="7" s="1"/>
  <c r="I14" i="7" s="1"/>
  <c r="J15" i="7" s="1"/>
  <c r="I15" i="7" s="1"/>
  <c r="J16" i="7" s="1"/>
  <c r="I16" i="7" s="1"/>
  <c r="J17" i="7" s="1"/>
  <c r="I17" i="7" s="1"/>
  <c r="J18" i="7" s="1"/>
  <c r="I18" i="7" s="1"/>
  <c r="J19" i="7" s="1"/>
  <c r="I19" i="7" s="1"/>
  <c r="J20" i="7" s="1"/>
  <c r="I20" i="7" s="1"/>
  <c r="D58" i="7"/>
  <c r="C58" i="7" s="1"/>
  <c r="C13" i="4"/>
  <c r="D13" i="4" s="1"/>
  <c r="D12" i="4"/>
  <c r="C8" i="7" l="1"/>
  <c r="C7" i="7" s="1"/>
  <c r="D25" i="7" s="1"/>
  <c r="B35" i="7" s="1"/>
  <c r="J22" i="7"/>
  <c r="J24" i="7" s="1"/>
  <c r="J26" i="7" s="1"/>
  <c r="J28" i="7" s="1"/>
  <c r="F44" i="6" s="1"/>
  <c r="F48" i="6" s="1"/>
  <c r="C14" i="4"/>
  <c r="D14" i="4" s="1"/>
  <c r="D9" i="7" l="1"/>
  <c r="C9" i="7" s="1"/>
  <c r="D10" i="7" s="1"/>
  <c r="C10" i="7" s="1"/>
  <c r="D11" i="7" s="1"/>
  <c r="C11" i="7" s="1"/>
  <c r="D12" i="7" s="1"/>
  <c r="C12" i="7" s="1"/>
  <c r="D13" i="7" s="1"/>
  <c r="C13" i="7" s="1"/>
  <c r="D14" i="7" s="1"/>
  <c r="C14" i="7" s="1"/>
  <c r="D15" i="7" s="1"/>
  <c r="C15" i="7" s="1"/>
  <c r="D16" i="7" s="1"/>
  <c r="C16" i="7" s="1"/>
  <c r="D17" i="7" s="1"/>
  <c r="C17" i="7" s="1"/>
  <c r="D18" i="7" s="1"/>
  <c r="C18" i="7" s="1"/>
  <c r="D19" i="7" s="1"/>
  <c r="C19" i="7" s="1"/>
  <c r="D20" i="7" s="1"/>
  <c r="C20" i="7" s="1"/>
  <c r="F50" i="6"/>
  <c r="F52" i="6" s="1"/>
  <c r="F54" i="6" s="1"/>
  <c r="C15" i="4"/>
  <c r="D22" i="7" l="1"/>
  <c r="D24" i="7" s="1"/>
  <c r="D26" i="7" s="1"/>
  <c r="D28" i="7" s="1"/>
  <c r="E44" i="6" s="1"/>
  <c r="E48" i="6" s="1"/>
  <c r="E50" i="6" s="1"/>
  <c r="E52" i="6" s="1"/>
  <c r="E54" i="6" s="1"/>
  <c r="E56" i="6" s="1"/>
  <c r="D29" i="7" s="1"/>
  <c r="F56" i="6"/>
  <c r="C16" i="4"/>
  <c r="D16" i="4" s="1"/>
  <c r="D15" i="4"/>
  <c r="D30" i="7" l="1"/>
  <c r="E58" i="6"/>
  <c r="E60" i="6" s="1"/>
  <c r="E62" i="6" s="1"/>
  <c r="J29" i="7"/>
  <c r="F58" i="6"/>
  <c r="F60" i="6" s="1"/>
  <c r="F62" i="6" s="1"/>
  <c r="C17" i="4"/>
  <c r="D17" i="4" s="1"/>
  <c r="D31" i="7" l="1"/>
  <c r="E62" i="7" s="1"/>
  <c r="C82" i="7"/>
  <c r="T30" i="8"/>
  <c r="J30" i="7"/>
  <c r="I82" i="7" s="1"/>
  <c r="E66" i="7"/>
  <c r="C18" i="4"/>
  <c r="D18" i="4" s="1"/>
  <c r="E60" i="7" l="1"/>
  <c r="D60" i="7" s="1"/>
  <c r="C60" i="7" s="1"/>
  <c r="E70" i="7"/>
  <c r="E64" i="7"/>
  <c r="E68" i="7"/>
  <c r="E61" i="7"/>
  <c r="E69" i="7"/>
  <c r="E67" i="7"/>
  <c r="E63" i="7"/>
  <c r="E71" i="7"/>
  <c r="E65" i="7"/>
  <c r="T31" i="8"/>
  <c r="J31" i="7"/>
  <c r="K66" i="7" s="1"/>
  <c r="C19" i="4"/>
  <c r="E73" i="7" l="1"/>
  <c r="D61" i="7"/>
  <c r="K68" i="7"/>
  <c r="K62" i="7"/>
  <c r="K65" i="7"/>
  <c r="K71" i="7"/>
  <c r="K67" i="7"/>
  <c r="K69" i="7"/>
  <c r="K63" i="7"/>
  <c r="K70" i="7"/>
  <c r="K60" i="7"/>
  <c r="K64" i="7"/>
  <c r="K61" i="7"/>
  <c r="C61" i="7"/>
  <c r="D62" i="7" s="1"/>
  <c r="C20" i="4"/>
  <c r="D20" i="4" s="1"/>
  <c r="D19" i="4"/>
  <c r="J60" i="7" l="1"/>
  <c r="I60" i="7" s="1"/>
  <c r="J61" i="7" s="1"/>
  <c r="K73" i="7"/>
  <c r="C62" i="7"/>
  <c r="D63" i="7" s="1"/>
  <c r="D22" i="4"/>
  <c r="I61" i="7" l="1"/>
  <c r="J62" i="7" s="1"/>
  <c r="C63" i="7"/>
  <c r="D64" i="7" s="1"/>
  <c r="D24" i="4"/>
  <c r="D26" i="4" s="1"/>
  <c r="D27" i="4"/>
  <c r="J27" i="4" s="1"/>
  <c r="I62" i="7" l="1"/>
  <c r="J63" i="7" s="1"/>
  <c r="C64" i="7"/>
  <c r="D65" i="7" s="1"/>
  <c r="D28" i="4"/>
  <c r="I63" i="7" l="1"/>
  <c r="J64" i="7" s="1"/>
  <c r="C65" i="7"/>
  <c r="D66" i="7" s="1"/>
  <c r="I64" i="7" l="1"/>
  <c r="J65" i="7" s="1"/>
  <c r="C66" i="7"/>
  <c r="D67" i="7" s="1"/>
  <c r="I65" i="7" l="1"/>
  <c r="J66" i="7" s="1"/>
  <c r="C67" i="7"/>
  <c r="D68" i="7" s="1"/>
  <c r="E77" i="2"/>
  <c r="E79" i="2" s="1"/>
  <c r="E87" i="2" s="1"/>
  <c r="I66" i="7" l="1"/>
  <c r="C68" i="7"/>
  <c r="D69" i="7" s="1"/>
  <c r="E81" i="2"/>
  <c r="E83" i="2" s="1"/>
  <c r="J67" i="7" l="1"/>
  <c r="I67" i="7" s="1"/>
  <c r="J68" i="7" s="1"/>
  <c r="C69" i="7"/>
  <c r="D70" i="7" s="1"/>
  <c r="E49" i="2"/>
  <c r="E51" i="2" s="1"/>
  <c r="E59" i="2" s="1"/>
  <c r="I68" i="7" l="1"/>
  <c r="J69" i="7" s="1"/>
  <c r="C70" i="7"/>
  <c r="E53" i="2"/>
  <c r="E55" i="2" s="1"/>
  <c r="I69" i="7" l="1"/>
  <c r="J70" i="7" s="1"/>
  <c r="D71" i="7"/>
  <c r="C71" i="7" s="1"/>
  <c r="C80" i="7" s="1"/>
  <c r="D73" i="7"/>
  <c r="C79" i="7" s="1"/>
  <c r="C81" i="7" s="1"/>
  <c r="C83" i="7" s="1"/>
  <c r="I70" i="7" l="1"/>
  <c r="J71" i="7" s="1"/>
  <c r="J73" i="7" s="1"/>
  <c r="I79" i="7" s="1"/>
  <c r="D32" i="7"/>
  <c r="B8" i="8"/>
  <c r="B48" i="8"/>
  <c r="J32" i="7"/>
  <c r="I71" i="7" l="1"/>
  <c r="E18" i="2"/>
  <c r="E20" i="2" s="1"/>
  <c r="E28" i="2" s="1"/>
  <c r="H8" i="8" l="1"/>
  <c r="I80" i="7"/>
  <c r="I81" i="7" s="1"/>
  <c r="I83" i="7" s="1"/>
  <c r="H48" i="8"/>
  <c r="E22" i="2"/>
  <c r="E24" i="2" s="1"/>
  <c r="H7" i="8" l="1"/>
  <c r="I25" i="8" s="1"/>
  <c r="G35" i="8" s="1"/>
  <c r="H9" i="8" l="1"/>
  <c r="I9" i="8" l="1"/>
  <c r="H10" i="8"/>
  <c r="I7" i="4"/>
  <c r="I9" i="4" s="1"/>
  <c r="I10" i="8" l="1"/>
  <c r="H11" i="8"/>
  <c r="J25" i="4"/>
  <c r="H35" i="4" s="1"/>
  <c r="J9" i="4"/>
  <c r="I10" i="4"/>
  <c r="I11" i="8" l="1"/>
  <c r="H12" i="8"/>
  <c r="I11" i="4"/>
  <c r="J10" i="4"/>
  <c r="I12" i="8" l="1"/>
  <c r="H13" i="8"/>
  <c r="I13" i="8" s="1"/>
  <c r="I12" i="4"/>
  <c r="J12" i="4" s="1"/>
  <c r="J11" i="4"/>
  <c r="H14" i="8" l="1"/>
  <c r="I13" i="4"/>
  <c r="J13" i="4" s="1"/>
  <c r="H15" i="8" l="1"/>
  <c r="I14" i="8"/>
  <c r="I14" i="4"/>
  <c r="H16" i="8" l="1"/>
  <c r="I15" i="8"/>
  <c r="I15" i="4"/>
  <c r="J15" i="4" s="1"/>
  <c r="J14" i="4"/>
  <c r="H17" i="8" l="1"/>
  <c r="I16" i="8"/>
  <c r="I16" i="4"/>
  <c r="J16" i="4" s="1"/>
  <c r="H18" i="8" l="1"/>
  <c r="I17" i="8"/>
  <c r="I17" i="4"/>
  <c r="J17" i="4" s="1"/>
  <c r="H19" i="8" l="1"/>
  <c r="H20" i="8" s="1"/>
  <c r="I20" i="8" s="1"/>
  <c r="I18" i="8"/>
  <c r="I18" i="4"/>
  <c r="I19" i="8" l="1"/>
  <c r="I22" i="8" s="1"/>
  <c r="I24" i="8" s="1"/>
  <c r="I26" i="8" s="1"/>
  <c r="I28" i="8" s="1"/>
  <c r="T27" i="8" s="1"/>
  <c r="I19" i="4"/>
  <c r="J18" i="4"/>
  <c r="T35" i="8" l="1"/>
  <c r="I20" i="4"/>
  <c r="J20" i="4" s="1"/>
  <c r="J19" i="4"/>
  <c r="T39" i="8" l="1"/>
  <c r="T43" i="8" s="1"/>
  <c r="T47" i="8"/>
  <c r="T51" i="8" s="1"/>
  <c r="J22" i="4"/>
  <c r="J24" i="4" s="1"/>
  <c r="J26" i="4" s="1"/>
  <c r="J28" i="4" s="1"/>
  <c r="I29" i="8" l="1"/>
  <c r="I30" i="8" s="1"/>
  <c r="I31" i="8" s="1"/>
  <c r="T55" i="8"/>
  <c r="T59" i="8" s="1"/>
  <c r="T63" i="8" s="1"/>
  <c r="D29" i="4"/>
  <c r="J29" i="4"/>
  <c r="J59" i="8" l="1"/>
  <c r="J50" i="8"/>
  <c r="J51" i="8"/>
  <c r="J54" i="8"/>
  <c r="J57" i="8"/>
  <c r="J49" i="8"/>
  <c r="J55" i="8"/>
  <c r="J56" i="8"/>
  <c r="J60" i="8"/>
  <c r="J53" i="8"/>
  <c r="J52" i="8"/>
  <c r="J58" i="8"/>
  <c r="J30" i="4"/>
  <c r="D30" i="4"/>
  <c r="J62" i="8" l="1"/>
  <c r="I49" i="8"/>
  <c r="H49" i="8" s="1"/>
  <c r="I50" i="8" s="1"/>
  <c r="H50" i="8" s="1"/>
  <c r="I51" i="8" s="1"/>
  <c r="H51" i="8" s="1"/>
  <c r="I52" i="8" s="1"/>
  <c r="H52" i="8" s="1"/>
  <c r="I53" i="8" s="1"/>
  <c r="H53" i="8" s="1"/>
  <c r="I54" i="8" s="1"/>
  <c r="H54" i="8" s="1"/>
  <c r="I55" i="8" s="1"/>
  <c r="H55" i="8" s="1"/>
  <c r="I56" i="8" s="1"/>
  <c r="H56" i="8" s="1"/>
  <c r="I57" i="8" s="1"/>
  <c r="H57" i="8" s="1"/>
  <c r="I58" i="8" s="1"/>
  <c r="H58" i="8" s="1"/>
  <c r="I59" i="8" s="1"/>
  <c r="H59" i="8" s="1"/>
  <c r="I60" i="8" s="1"/>
  <c r="H60" i="8" s="1"/>
  <c r="I32" i="8" s="1"/>
  <c r="D31" i="4"/>
  <c r="C78" i="4" s="1"/>
  <c r="C80" i="4"/>
  <c r="J31" i="4"/>
  <c r="K66" i="4" s="1"/>
  <c r="I80" i="4"/>
  <c r="E63" i="4" l="1"/>
  <c r="E66" i="4"/>
  <c r="K68" i="4"/>
  <c r="K69" i="4"/>
  <c r="E68" i="4"/>
  <c r="K67" i="4"/>
  <c r="K64" i="4"/>
  <c r="K61" i="4"/>
  <c r="E67" i="4"/>
  <c r="E70" i="4"/>
  <c r="E60" i="4"/>
  <c r="E65" i="4"/>
  <c r="E64" i="4"/>
  <c r="E69" i="4"/>
  <c r="K62" i="4"/>
  <c r="K65" i="4"/>
  <c r="K70" i="4"/>
  <c r="E59" i="4"/>
  <c r="D59" i="4" s="1"/>
  <c r="C59" i="4" s="1"/>
  <c r="E62" i="4"/>
  <c r="E61" i="4"/>
  <c r="K59" i="4"/>
  <c r="J59" i="4" s="1"/>
  <c r="I59" i="4" s="1"/>
  <c r="K60" i="4"/>
  <c r="K63" i="4"/>
  <c r="J60" i="4" l="1"/>
  <c r="I60" i="4" s="1"/>
  <c r="K72" i="4"/>
  <c r="E72" i="4"/>
  <c r="D60" i="4"/>
  <c r="C60" i="4" s="1"/>
  <c r="D61" i="4" s="1"/>
  <c r="J61" i="4" l="1"/>
  <c r="I61" i="4" s="1"/>
  <c r="J62" i="4" s="1"/>
  <c r="C61" i="4"/>
  <c r="D62" i="4" s="1"/>
  <c r="I62" i="4" l="1"/>
  <c r="J63" i="4" s="1"/>
  <c r="C62" i="4"/>
  <c r="D63" i="4" s="1"/>
  <c r="I63" i="4" l="1"/>
  <c r="J64" i="4" s="1"/>
  <c r="C63" i="4"/>
  <c r="D64" i="4" s="1"/>
  <c r="I64" i="4" l="1"/>
  <c r="J65" i="4" s="1"/>
  <c r="C64" i="4"/>
  <c r="D65" i="4" s="1"/>
  <c r="I65" i="4" l="1"/>
  <c r="J66" i="4" s="1"/>
  <c r="C65" i="4"/>
  <c r="D66" i="4" s="1"/>
  <c r="I66" i="4" l="1"/>
  <c r="J67" i="4" s="1"/>
  <c r="C66" i="4"/>
  <c r="D67" i="4" s="1"/>
  <c r="I67" i="4" l="1"/>
  <c r="J68" i="4" s="1"/>
  <c r="C67" i="4"/>
  <c r="D68" i="4" s="1"/>
  <c r="I68" i="4" l="1"/>
  <c r="J69" i="4" s="1"/>
  <c r="C68" i="4"/>
  <c r="D69" i="4" s="1"/>
  <c r="I69" i="4" l="1"/>
  <c r="J70" i="4" s="1"/>
  <c r="J72" i="4" s="1"/>
  <c r="I77" i="4" s="1"/>
  <c r="C69" i="4"/>
  <c r="D70" i="4" s="1"/>
  <c r="D72" i="4" s="1"/>
  <c r="C77" i="4" s="1"/>
  <c r="C79" i="4" s="1"/>
  <c r="C81" i="4" s="1"/>
  <c r="I70" i="4" l="1"/>
  <c r="C70" i="4"/>
  <c r="D32" i="4" s="1"/>
  <c r="B7" i="8"/>
  <c r="B9" i="8" s="1"/>
  <c r="J32" i="4" l="1"/>
  <c r="I78" i="4"/>
  <c r="I79" i="4" s="1"/>
  <c r="I81" i="4" s="1"/>
  <c r="C25" i="8"/>
  <c r="A35" i="8" s="1"/>
  <c r="B10" i="8"/>
  <c r="C10" i="8" s="1"/>
  <c r="C9" i="8"/>
  <c r="B11" i="8" l="1"/>
  <c r="B12" i="8" l="1"/>
  <c r="C11" i="8"/>
  <c r="B13" i="8" l="1"/>
  <c r="C13" i="8" s="1"/>
  <c r="C12" i="8"/>
  <c r="B14" i="8" l="1"/>
  <c r="B15" i="8" l="1"/>
  <c r="C14" i="8"/>
  <c r="B16" i="8" l="1"/>
  <c r="C15" i="8"/>
  <c r="B17" i="8" l="1"/>
  <c r="C16" i="8"/>
  <c r="B18" i="8" l="1"/>
  <c r="C17" i="8"/>
  <c r="B19" i="8" l="1"/>
  <c r="C19" i="8" s="1"/>
  <c r="C18" i="8"/>
  <c r="B20" i="8" l="1"/>
  <c r="C20" i="8" s="1"/>
  <c r="C22" i="8" s="1"/>
  <c r="C24" i="8" s="1"/>
  <c r="C26" i="8" s="1"/>
  <c r="C28" i="8" s="1"/>
  <c r="T26" i="8" l="1"/>
  <c r="T34" i="8" s="1"/>
  <c r="T38" i="8" s="1"/>
  <c r="T42" i="8" l="1"/>
  <c r="T46" i="8" s="1"/>
  <c r="T50" i="8" s="1"/>
  <c r="T37" i="8"/>
  <c r="T54" i="8" l="1"/>
  <c r="T58" i="8" s="1"/>
  <c r="C29" i="8"/>
  <c r="C30" i="8" s="1"/>
  <c r="C31" i="8" s="1"/>
  <c r="D50" i="8" l="1"/>
  <c r="D49" i="8"/>
  <c r="D59" i="8"/>
  <c r="D57" i="8"/>
  <c r="D53" i="8"/>
  <c r="D52" i="8"/>
  <c r="D55" i="8"/>
  <c r="D51" i="8"/>
  <c r="D56" i="8"/>
  <c r="D54" i="8"/>
  <c r="D60" i="8"/>
  <c r="D58" i="8"/>
  <c r="T62" i="8"/>
  <c r="T57" i="8"/>
  <c r="C49" i="8" l="1"/>
  <c r="B49" i="8" s="1"/>
  <c r="C50" i="8" s="1"/>
  <c r="B50" i="8" s="1"/>
  <c r="C51" i="8" s="1"/>
  <c r="B51" i="8" s="1"/>
  <c r="C52" i="8" s="1"/>
  <c r="B52" i="8" s="1"/>
  <c r="C53" i="8" s="1"/>
  <c r="B53" i="8" s="1"/>
  <c r="D62" i="8"/>
  <c r="C54" i="8" l="1"/>
  <c r="B54" i="8" s="1"/>
  <c r="C55" i="8" l="1"/>
  <c r="B55" i="8" s="1"/>
  <c r="C56" i="8" l="1"/>
  <c r="B56" i="8" s="1"/>
  <c r="C57" i="8" l="1"/>
  <c r="B57" i="8" s="1"/>
  <c r="C58" i="8" l="1"/>
  <c r="B58" i="8" s="1"/>
  <c r="C59" i="8" l="1"/>
  <c r="B59" i="8" s="1"/>
  <c r="C60" i="8" l="1"/>
  <c r="B60" i="8" s="1"/>
  <c r="C32" i="8" s="1"/>
</calcChain>
</file>

<file path=xl/comments1.xml><?xml version="1.0" encoding="utf-8"?>
<comments xmlns="http://schemas.openxmlformats.org/spreadsheetml/2006/main">
  <authors>
    <author>Author</author>
  </authors>
  <commentList>
    <comment ref="K3" authorId="0" shapeId="0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2017 actual 122 billed usage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B80" authorId="0" shapeId="0">
      <text>
        <r>
          <rPr>
            <b/>
            <sz val="9"/>
            <color indexed="81"/>
            <rFont val="Tahoma"/>
            <family val="2"/>
          </rPr>
          <t>Tara Knox:</t>
        </r>
        <r>
          <rPr>
            <sz val="9"/>
            <color indexed="81"/>
            <rFont val="Tahoma"/>
            <family val="2"/>
          </rPr>
          <t xml:space="preserve">
Adjusted for 10/31/2019 balance remaining due to rounding error.</t>
        </r>
      </text>
    </comment>
    <comment ref="H80" authorId="0" shapeId="0">
      <text>
        <r>
          <rPr>
            <b/>
            <sz val="9"/>
            <color indexed="81"/>
            <rFont val="Tahoma"/>
            <family val="2"/>
          </rPr>
          <t>Tara Knox:</t>
        </r>
        <r>
          <rPr>
            <sz val="9"/>
            <color indexed="81"/>
            <rFont val="Tahoma"/>
            <family val="2"/>
          </rPr>
          <t xml:space="preserve">
Adjusted for 10/31/2019 balance remaining due to rounding error.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H78" authorId="0" shapeId="0">
      <text>
        <r>
          <rPr>
            <b/>
            <sz val="9"/>
            <color indexed="81"/>
            <rFont val="Tahoma"/>
            <family val="2"/>
          </rPr>
          <t>Tara Knox:</t>
        </r>
        <r>
          <rPr>
            <sz val="9"/>
            <color indexed="81"/>
            <rFont val="Tahoma"/>
            <family val="2"/>
          </rPr>
          <t xml:space="preserve">
Adjusted for 10/31/2017 balance remaining due to rounding error.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D8" authorId="0" shapeId="0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forecast therms
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2016 normalized billing determinants (agrees to UG-170486) at present billing rates effective 6/1/2017</t>
        </r>
      </text>
    </comment>
  </commentList>
</comments>
</file>

<file path=xl/sharedStrings.xml><?xml version="1.0" encoding="utf-8"?>
<sst xmlns="http://schemas.openxmlformats.org/spreadsheetml/2006/main" count="547" uniqueCount="234">
  <si>
    <t>Avista Utilities</t>
  </si>
  <si>
    <t>Calculation of Decoupling Mechanism Surcharge or Rebate Amortization Rates</t>
  </si>
  <si>
    <t>Effective November 1, 2016 - October 31, 2017</t>
  </si>
  <si>
    <t>Date</t>
  </si>
  <si>
    <t>Interest</t>
  </si>
  <si>
    <t>Residential Natural Gas</t>
  </si>
  <si>
    <t>Annual Total</t>
  </si>
  <si>
    <t>Unamortized Balance (1)</t>
  </si>
  <si>
    <t>Interest (2)</t>
  </si>
  <si>
    <t>Ending Balance</t>
  </si>
  <si>
    <t>Incremental Rate to Recover Estimated Interest</t>
  </si>
  <si>
    <t>Estimated Rate to Recover Deferral Balance</t>
  </si>
  <si>
    <t>Rate before Gross-up for Revenue-related items</t>
  </si>
  <si>
    <t>Times:  Gross-up for Revenue-related items (3)</t>
  </si>
  <si>
    <t>Amortization Rate</t>
  </si>
  <si>
    <t>Surcharge Rate</t>
  </si>
  <si>
    <t>Non-Residential Natural Gas</t>
  </si>
  <si>
    <t>AVISTA UTILITIES</t>
  </si>
  <si>
    <t>Revenue Conversion Factor</t>
  </si>
  <si>
    <t>Twelve Months Ended December 31, 2013</t>
  </si>
  <si>
    <t xml:space="preserve">Line </t>
  </si>
  <si>
    <t>No.</t>
  </si>
  <si>
    <t>Description</t>
  </si>
  <si>
    <t>Factor</t>
  </si>
  <si>
    <t>Revenues</t>
  </si>
  <si>
    <t>Expense:</t>
  </si>
  <si>
    <t xml:space="preserve">  Uncollectibles</t>
  </si>
  <si>
    <t xml:space="preserve">  Commission Fees</t>
  </si>
  <si>
    <t xml:space="preserve">  Washington Excise Tax</t>
  </si>
  <si>
    <t xml:space="preserve">    Total Expense</t>
  </si>
  <si>
    <t>Net Operating Income Before FIT</t>
  </si>
  <si>
    <t xml:space="preserve">  Federal Income Tax @ 35%</t>
  </si>
  <si>
    <t>REVENUE CONVERSION FACTOR</t>
  </si>
  <si>
    <t>Washington -Natural Gas System</t>
  </si>
  <si>
    <t>UG-140189 Rates Effective 1/1/2015</t>
  </si>
  <si>
    <t>Settlement Basis Conversion Factor</t>
  </si>
  <si>
    <t>Twelve Months Ended June 30, 2013</t>
  </si>
  <si>
    <t xml:space="preserve">  Franchise Fees</t>
  </si>
  <si>
    <t>As Filed Conversion Factor</t>
  </si>
  <si>
    <t>Utilized in Decoupling Journal Calculations</t>
  </si>
  <si>
    <t>Twelve Months Ended September 30, 2015</t>
  </si>
  <si>
    <t>UG-160229 current GRC</t>
  </si>
  <si>
    <t>Washington - Gas System</t>
  </si>
  <si>
    <t xml:space="preserve">  Uncollectibles  </t>
  </si>
  <si>
    <t xml:space="preserve">  Commission Fees </t>
  </si>
  <si>
    <t xml:space="preserve">  Washington Excise Tax  </t>
  </si>
  <si>
    <t>Gross Up Factor</t>
  </si>
  <si>
    <t>Residential Electric</t>
  </si>
  <si>
    <t>Non-Residential Electric</t>
  </si>
  <si>
    <t>Decoupling Mechanism Earnings Test and 3% Test</t>
  </si>
  <si>
    <t>Natural Gas</t>
  </si>
  <si>
    <t>Rate Base</t>
  </si>
  <si>
    <t>Net Income</t>
  </si>
  <si>
    <t xml:space="preserve">Calculated ROR </t>
  </si>
  <si>
    <t xml:space="preserve">Base ROR </t>
  </si>
  <si>
    <t>Excess ROR</t>
  </si>
  <si>
    <t>Excess Earnings</t>
  </si>
  <si>
    <t>Conversion Factor</t>
  </si>
  <si>
    <t>Excess Revenue (Excess Earnings/CF)</t>
  </si>
  <si>
    <t>Sharing %</t>
  </si>
  <si>
    <t>Residential Revenue</t>
  </si>
  <si>
    <t>Non-Residential Revenue</t>
  </si>
  <si>
    <t>Total Normalized Revenue</t>
  </si>
  <si>
    <t>Earnings Test Sharing Adjustment</t>
  </si>
  <si>
    <t>Total</t>
  </si>
  <si>
    <t xml:space="preserve">  Residential</t>
  </si>
  <si>
    <t>Proposed Decoupling Recovery Rates</t>
  </si>
  <si>
    <t>Rebate Rate</t>
  </si>
  <si>
    <t>Present Decoupling Recovery Rates</t>
  </si>
  <si>
    <t>Incremental Decoupling Recovery Rates</t>
  </si>
  <si>
    <t>Incremental Decoupling Recovery</t>
  </si>
  <si>
    <t>3% Incremental Surcharge Test</t>
  </si>
  <si>
    <t>Incremental Surcharge %</t>
  </si>
  <si>
    <t>3% Test Rate Adjustment</t>
  </si>
  <si>
    <t>Adjusted Proposed Decoupling Recovery Rates</t>
  </si>
  <si>
    <t>Adjusted Incremental Decoupling Recovery</t>
  </si>
  <si>
    <t>Adjusted Incremental Surcharge %</t>
  </si>
  <si>
    <t>3% Test Rate Adjustment (4)</t>
  </si>
  <si>
    <t>Final Proposed Decoupling Rate</t>
  </si>
  <si>
    <t>Estimated Carryover Balance (5)</t>
  </si>
  <si>
    <t>Notes</t>
  </si>
  <si>
    <t>(2)  Interest computed on average balance between beginning and end of month at the
      present FERC rate.  The FERC interest rate is updated quarterly.</t>
  </si>
  <si>
    <t>Calculate Estimated Monthly Balances through October 2017</t>
  </si>
  <si>
    <t>Calculate Estimated Monthly Balance through October 2017</t>
  </si>
  <si>
    <t>Amortization</t>
  </si>
  <si>
    <t>Adjusted for Revenue Related Expenses</t>
  </si>
  <si>
    <t>http://www.ferc.gov/enforcement/acct-matts/interest-rates.asp</t>
  </si>
  <si>
    <t>3.25% / 3.46%</t>
  </si>
  <si>
    <t>Estimated Carryover Balance due to 3% test (5)</t>
  </si>
  <si>
    <t>Preliminary Proposed Decoupling Rate</t>
  </si>
  <si>
    <t>(3)  2015 Commission Basis conversion factor, see page ? of  Attachment ?.</t>
  </si>
  <si>
    <t>(4)  See pages ? and ? of Attachment ? for earnings test and 3% test adjustment calculations.</t>
  </si>
  <si>
    <t>(5)  See page ? of Attachment ? for estimated carryover balance calculations.</t>
  </si>
  <si>
    <t>Earnings Sharing Adjustment</t>
  </si>
  <si>
    <t>Adjusted December Balance</t>
  </si>
  <si>
    <t>3% Test Adjustment (1)</t>
  </si>
  <si>
    <t>(1)  The carryover balances will differ from the 3% adjustment amounts due to the revenue related expense
      gross up partially offset by additional interest on the outstanding balance during the amortization period.</t>
  </si>
  <si>
    <t xml:space="preserve">  Non-Residential</t>
  </si>
  <si>
    <t>Effective November 1, 2017 - October 31, 2018</t>
  </si>
  <si>
    <t>WA101</t>
  </si>
  <si>
    <t>WA111</t>
  </si>
  <si>
    <t>WA121</t>
  </si>
  <si>
    <t>WA132</t>
  </si>
  <si>
    <t>WA146</t>
  </si>
  <si>
    <t>WA148</t>
  </si>
  <si>
    <t>Bill Determinants Tab</t>
  </si>
  <si>
    <t>Total Loads by Rate Sched:</t>
  </si>
  <si>
    <t>Revenue From 2016 Normalized Loads and Customers at Present (2017 summer) Billing Rates</t>
  </si>
  <si>
    <t>RES</t>
  </si>
  <si>
    <t>Non-RES</t>
  </si>
  <si>
    <t>Sch 122 Exclusion</t>
  </si>
  <si>
    <t>Washington Natural Gas</t>
  </si>
  <si>
    <t>3.25% Q1 2016 3.46% Q2 2016  3.50% Q3 2016</t>
  </si>
  <si>
    <t>New Load Forecast</t>
  </si>
  <si>
    <t>Line No.</t>
  </si>
  <si>
    <t xml:space="preserve">Total </t>
  </si>
  <si>
    <t>2015 Deferred Revenue</t>
  </si>
  <si>
    <t>Less Earnings Sharing</t>
  </si>
  <si>
    <t>Customer Surcharge Revenue</t>
  </si>
  <si>
    <t>Carryover Deferred Revenue</t>
  </si>
  <si>
    <t>Summary</t>
  </si>
  <si>
    <t xml:space="preserve">Summary </t>
  </si>
  <si>
    <t>(1)</t>
  </si>
  <si>
    <t>(2)</t>
  </si>
  <si>
    <t>Interest computed on average balance between beginning and end of month at the present FERC rate.  The FERC interest rate is updated quarterly.</t>
  </si>
  <si>
    <t>(3)</t>
  </si>
  <si>
    <t>(4)</t>
  </si>
  <si>
    <t>(5)</t>
  </si>
  <si>
    <t>2015 Commission Basis conversion factor, see page 7 of  Attachment A.</t>
  </si>
  <si>
    <t>See pages 5 and 6 of Attachment A for earnings test and 3% test adjustment calculations.</t>
  </si>
  <si>
    <t>See page 2 of Attachment A for estimated carryover balance calculations.</t>
  </si>
  <si>
    <t>Forecast Usage</t>
  </si>
  <si>
    <t>Add Interest through 10/31/2017</t>
  </si>
  <si>
    <t xml:space="preserve">     Total Requested Recovery</t>
  </si>
  <si>
    <t xml:space="preserve">     Total Requested Refund</t>
  </si>
  <si>
    <t>Add Revenue Related Expense Adj.</t>
  </si>
  <si>
    <t>Customer Rebate Revenue</t>
  </si>
  <si>
    <t xml:space="preserve"> Forecast Usage</t>
  </si>
  <si>
    <t>November 2017 - October 2018 Usage</t>
  </si>
  <si>
    <t>See page 4 of Attachment A for estimated carryover balance calculations.</t>
  </si>
  <si>
    <t>Gross Revenue Adjustment</t>
  </si>
  <si>
    <t>Net of Revenue Related Expenses</t>
  </si>
  <si>
    <t>Residential</t>
  </si>
  <si>
    <t>Non-Residential</t>
  </si>
  <si>
    <t>Present Decoupling Surcharge Recovery Rates</t>
  </si>
  <si>
    <t>(2)  The carryover balances will differ from the 3% adjustment amounts due to the revenue related expense gross up partially offset by additional interest on the outstanding balance during the amortization period.</t>
  </si>
  <si>
    <t>See pages 6 and 7 of Attachment A for earnings test and 3% test adjustment calculations.</t>
  </si>
  <si>
    <t>Decoupling Mechanism Prior Surcharge or Rebate Amortization</t>
  </si>
  <si>
    <t>Regulatory Asset Beginning Balance</t>
  </si>
  <si>
    <t>Regulatory Asset Ending Balance</t>
  </si>
  <si>
    <t>Interest Rate</t>
  </si>
  <si>
    <t>Aug - Oct Forecast Usage</t>
  </si>
  <si>
    <t>Residential Natural Gas Surcharge</t>
  </si>
  <si>
    <t>Non-Residential Natural Gas Surcharge</t>
  </si>
  <si>
    <t>Add Prior Year Carryover Balance</t>
  </si>
  <si>
    <t>Prior Year Carryover Balance</t>
  </si>
  <si>
    <t>Washington Jurisdiction</t>
  </si>
  <si>
    <t>Decoupling</t>
  </si>
  <si>
    <t>Present</t>
  </si>
  <si>
    <t xml:space="preserve">Present </t>
  </si>
  <si>
    <t xml:space="preserve">Proposed </t>
  </si>
  <si>
    <t>Proposed</t>
  </si>
  <si>
    <t xml:space="preserve">Incremental </t>
  </si>
  <si>
    <t>Type of</t>
  </si>
  <si>
    <t>Schedule</t>
  </si>
  <si>
    <t>Billing</t>
  </si>
  <si>
    <t>Rate</t>
  </si>
  <si>
    <t xml:space="preserve">Billing </t>
  </si>
  <si>
    <t>Service</t>
  </si>
  <si>
    <t>Number</t>
  </si>
  <si>
    <t>Determinants</t>
  </si>
  <si>
    <t>Revenue</t>
  </si>
  <si>
    <t>change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</si>
  <si>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</si>
  <si>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</si>
  <si>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</si>
  <si>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</si>
  <si>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</si>
  <si>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</si>
  <si>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</si>
  <si>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</si>
  <si>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</si>
  <si>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General Service</t>
  </si>
  <si>
    <t>101/102</t>
  </si>
  <si>
    <t>Large General Service</t>
  </si>
  <si>
    <t>N/A</t>
  </si>
  <si>
    <t>High Annual Load Factor Large General Service</t>
  </si>
  <si>
    <t>Interruptible Service</t>
  </si>
  <si>
    <t>Transportation Service</t>
  </si>
  <si>
    <t>Special Contract Transportation Service</t>
  </si>
  <si>
    <t>Non-Residential Group Subtotal</t>
  </si>
  <si>
    <t xml:space="preserve">Average Residential Bill </t>
  </si>
  <si>
    <t xml:space="preserve"> @65 therms</t>
  </si>
  <si>
    <t>Basic Charge</t>
  </si>
  <si>
    <t>Block 1</t>
  </si>
  <si>
    <t>First 70 therms</t>
  </si>
  <si>
    <t>Block 2</t>
  </si>
  <si>
    <t>Next 70 therms</t>
  </si>
  <si>
    <t>Block 3</t>
  </si>
  <si>
    <t>Block 4</t>
  </si>
  <si>
    <t>Proposed rate change</t>
  </si>
  <si>
    <t>Block 5</t>
  </si>
  <si>
    <t>Residential Bill at Proposed rates</t>
  </si>
  <si>
    <t>Customer Bills</t>
  </si>
  <si>
    <t>GSFM June Mid-month (6 14 18 pricing).xlsm</t>
  </si>
  <si>
    <t>WA112</t>
  </si>
  <si>
    <t>Effective November 1, 2018 - October 31, 2019</t>
  </si>
  <si>
    <t>Calculate Estimated Monthly Balances through October 2019</t>
  </si>
  <si>
    <t>2017 Deferred Revenue</t>
  </si>
  <si>
    <t>Add Interest through 10/31/2019</t>
  </si>
  <si>
    <t>2017 Commission Basis conversion factor, see page 8 of  Attachment A.</t>
  </si>
  <si>
    <t>Docket No. UG-170942</t>
  </si>
  <si>
    <t>2017 Deferrals</t>
  </si>
  <si>
    <t>2017 Commission Basis Earnings Test for Decoupling</t>
  </si>
  <si>
    <t>Revenue From 2017 Normalized Loads and Customers at Present Billing Rates (Note 1)</t>
  </si>
  <si>
    <t>November 2018 - October 2019 Usage</t>
  </si>
  <si>
    <t>3% Test Adjustment (2)</t>
  </si>
  <si>
    <t>(1)  Revenue from 2017 normalized loads and customers at present billing rates effective since June 1, 2018.</t>
  </si>
  <si>
    <t>June 1, 2018 Effective Billing Rates</t>
  </si>
  <si>
    <t>TWELVE MONTHS ENDED December 31, 2017</t>
  </si>
  <si>
    <t>2017 Commission Basis Conversion Factor</t>
  </si>
  <si>
    <t>Schedule 122 Exclusion from 2017 Normalized 121/122 Revenue</t>
  </si>
  <si>
    <t>Incr/(Decr)</t>
  </si>
  <si>
    <t>Residential Bill at 6/1/2018 rates</t>
  </si>
  <si>
    <t>Schedule 112 Exclusion from 2017 Normalized 111/112 Revenue</t>
  </si>
  <si>
    <t>Total Billed</t>
  </si>
  <si>
    <t>Unbilled</t>
  </si>
  <si>
    <t>Proposed Percent Decrease</t>
  </si>
  <si>
    <t>Annualized Sch 122</t>
  </si>
  <si>
    <t>2018 Decoupling Schedule 175 Filing</t>
  </si>
  <si>
    <t>Revenue From 2017 Normalized Loads and Customers at Present Billing Rates</t>
  </si>
  <si>
    <t>Add Prior Year Residual Balance</t>
  </si>
  <si>
    <t>Prior Year Residual Balance</t>
  </si>
  <si>
    <t>2017 Total Earnings Test 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</si>
</sst>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000_);\(&quot;$&quot;#,##0.00000\)"/>
    <numFmt numFmtId="166" formatCode="0.000000"/>
    <numFmt numFmtId="167" formatCode="0.00000"/>
    <numFmt numFmtId="168" formatCode="_(* #,##0.000000_);_(* \(#,##0.000000\);_(* &quot;-&quot;??_);_(@_)"/>
    <numFmt numFmtId="169" formatCode="_(&quot;$&quot;* #,##0_);_(&quot;$&quot;* \(#,##0\);_(&quot;$&quot;* &quot;-&quot;??_);_(@_)"/>
    <numFmt numFmtId="170" formatCode="&quot;$&quot;#,##0.00000"/>
    <numFmt numFmtId="171" formatCode="mmm\ yy"/>
    <numFmt numFmtId="172" formatCode="_(&quot;$&quot;* #,##0.00000_);_(&quot;$&quot;* \(#,##0.00000\);_(&quot;$&quot;* &quot;-&quot;??_);_(@_)"/>
    <numFmt numFmtId="173" formatCode="0.0%"/>
    <numFmt numFmtId="174" formatCode="&quot;$&quot;#,##0.00"/>
    <numFmt numFmtId="175" formatCode="_(&quot;$&quot;* #,##0.000000_);_(&quot;$&quot;* \(#,##0.000000\);_(&quot;$&quot;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10"/>
      <color indexed="48"/>
      <name val="Times New Roman"/>
      <family val="1"/>
    </font>
    <font>
      <b/>
      <sz val="9"/>
      <name val="Times New Roman"/>
      <family val="1"/>
    </font>
    <font>
      <sz val="10"/>
      <name val="Arial"/>
      <family val="2"/>
    </font>
    <font>
      <sz val="10"/>
      <color indexed="12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sz val="11"/>
      <color rgb="FFFF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8" fillId="0" borderId="0"/>
    <xf numFmtId="44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199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/>
    <xf numFmtId="166" fontId="5" fillId="0" borderId="0" xfId="0" applyNumberFormat="1" applyFont="1"/>
    <xf numFmtId="166" fontId="2" fillId="0" borderId="0" xfId="0" applyNumberFormat="1" applyFont="1"/>
    <xf numFmtId="166" fontId="4" fillId="0" borderId="0" xfId="0" applyNumberFormat="1" applyFont="1"/>
    <xf numFmtId="166" fontId="5" fillId="0" borderId="2" xfId="0" applyNumberFormat="1" applyFont="1" applyBorder="1"/>
    <xf numFmtId="166" fontId="5" fillId="0" borderId="0" xfId="0" applyNumberFormat="1" applyFont="1" applyBorder="1"/>
    <xf numFmtId="10" fontId="6" fillId="0" borderId="0" xfId="0" applyNumberFormat="1" applyFont="1"/>
    <xf numFmtId="166" fontId="5" fillId="0" borderId="1" xfId="0" applyNumberFormat="1" applyFont="1" applyBorder="1"/>
    <xf numFmtId="0" fontId="1" fillId="0" borderId="0" xfId="3"/>
    <xf numFmtId="167" fontId="5" fillId="0" borderId="3" xfId="0" applyNumberFormat="1" applyFont="1" applyBorder="1"/>
    <xf numFmtId="166" fontId="3" fillId="2" borderId="4" xfId="0" applyNumberFormat="1" applyFont="1" applyFill="1" applyBorder="1"/>
    <xf numFmtId="0" fontId="2" fillId="3" borderId="0" xfId="0" applyFont="1" applyFill="1" applyAlignment="1">
      <alignment horizontal="centerContinuous"/>
    </xf>
    <xf numFmtId="0" fontId="3" fillId="3" borderId="0" xfId="0" applyFont="1" applyFill="1" applyAlignment="1">
      <alignment horizontal="centerContinuous"/>
    </xf>
    <xf numFmtId="166" fontId="5" fillId="3" borderId="3" xfId="0" applyNumberFormat="1" applyFont="1" applyFill="1" applyBorder="1"/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166" fontId="4" fillId="0" borderId="0" xfId="4" applyNumberFormat="1" applyFont="1"/>
    <xf numFmtId="166" fontId="9" fillId="0" borderId="0" xfId="0" applyNumberFormat="1" applyFont="1"/>
    <xf numFmtId="166" fontId="4" fillId="0" borderId="2" xfId="0" applyNumberFormat="1" applyFont="1" applyBorder="1"/>
    <xf numFmtId="166" fontId="4" fillId="0" borderId="5" xfId="0" applyNumberFormat="1" applyFont="1" applyBorder="1"/>
    <xf numFmtId="0" fontId="0" fillId="0" borderId="0" xfId="0" applyBorder="1" applyAlignment="1">
      <alignment horizontal="center" wrapText="1"/>
    </xf>
    <xf numFmtId="10" fontId="0" fillId="0" borderId="0" xfId="0" applyNumberFormat="1" applyBorder="1" applyAlignment="1">
      <alignment horizontal="center" wrapText="1"/>
    </xf>
    <xf numFmtId="5" fontId="0" fillId="0" borderId="0" xfId="0" applyNumberFormat="1" applyBorder="1"/>
    <xf numFmtId="0" fontId="0" fillId="0" borderId="0" xfId="0" applyBorder="1"/>
    <xf numFmtId="165" fontId="0" fillId="0" borderId="0" xfId="0" applyNumberFormat="1" applyBorder="1"/>
    <xf numFmtId="168" fontId="0" fillId="0" borderId="0" xfId="1" applyNumberFormat="1" applyFont="1" applyBorder="1"/>
    <xf numFmtId="164" fontId="0" fillId="0" borderId="0" xfId="1" applyNumberFormat="1" applyFont="1" applyBorder="1"/>
    <xf numFmtId="0" fontId="0" fillId="0" borderId="0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1" applyNumberFormat="1" applyFont="1" applyFill="1" applyBorder="1"/>
    <xf numFmtId="164" fontId="0" fillId="0" borderId="0" xfId="0" applyNumberFormat="1" applyBorder="1"/>
    <xf numFmtId="164" fontId="0" fillId="0" borderId="0" xfId="0" applyNumberFormat="1" applyBorder="1" applyAlignment="1">
      <alignment wrapText="1"/>
    </xf>
    <xf numFmtId="10" fontId="0" fillId="0" borderId="0" xfId="2" applyNumberFormat="1" applyFont="1" applyBorder="1"/>
    <xf numFmtId="10" fontId="0" fillId="0" borderId="0" xfId="2" applyNumberFormat="1" applyFont="1"/>
    <xf numFmtId="10" fontId="0" fillId="0" borderId="0" xfId="0" applyNumberFormat="1"/>
    <xf numFmtId="169" fontId="0" fillId="0" borderId="0" xfId="0" applyNumberFormat="1"/>
    <xf numFmtId="166" fontId="11" fillId="0" borderId="0" xfId="2" applyNumberFormat="1" applyFont="1" applyBorder="1"/>
    <xf numFmtId="9" fontId="0" fillId="0" borderId="0" xfId="0" applyNumberFormat="1"/>
    <xf numFmtId="169" fontId="10" fillId="0" borderId="6" xfId="0" applyNumberFormat="1" applyFont="1" applyBorder="1"/>
    <xf numFmtId="169" fontId="0" fillId="0" borderId="7" xfId="0" applyNumberFormat="1" applyBorder="1"/>
    <xf numFmtId="0" fontId="0" fillId="0" borderId="0" xfId="0" applyAlignment="1">
      <alignment horizontal="center"/>
    </xf>
    <xf numFmtId="0" fontId="10" fillId="0" borderId="0" xfId="0" applyFont="1"/>
    <xf numFmtId="169" fontId="0" fillId="0" borderId="0" xfId="5" applyNumberFormat="1" applyFont="1"/>
    <xf numFmtId="164" fontId="0" fillId="0" borderId="0" xfId="1" applyNumberFormat="1" applyFont="1"/>
    <xf numFmtId="170" fontId="0" fillId="0" borderId="0" xfId="0" applyNumberFormat="1"/>
    <xf numFmtId="10" fontId="10" fillId="0" borderId="0" xfId="2" applyNumberFormat="1" applyFont="1"/>
    <xf numFmtId="169" fontId="10" fillId="0" borderId="0" xfId="0" applyNumberFormat="1" applyFont="1" applyBorder="1"/>
    <xf numFmtId="167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/>
    <xf numFmtId="17" fontId="0" fillId="0" borderId="0" xfId="0" applyNumberFormat="1" applyBorder="1"/>
    <xf numFmtId="0" fontId="0" fillId="0" borderId="0" xfId="0" applyFill="1" applyBorder="1"/>
    <xf numFmtId="17" fontId="10" fillId="0" borderId="0" xfId="0" applyNumberFormat="1" applyFont="1" applyBorder="1"/>
    <xf numFmtId="5" fontId="10" fillId="0" borderId="0" xfId="0" applyNumberFormat="1" applyFont="1" applyBorder="1"/>
    <xf numFmtId="10" fontId="0" fillId="0" borderId="0" xfId="0" quotePrefix="1" applyNumberFormat="1" applyBorder="1" applyAlignment="1">
      <alignment horizontal="center" wrapText="1"/>
    </xf>
    <xf numFmtId="0" fontId="12" fillId="0" borderId="0" xfId="6" quotePrefix="1" applyBorder="1" applyAlignment="1">
      <alignment horizontal="left"/>
    </xf>
    <xf numFmtId="0" fontId="0" fillId="0" borderId="0" xfId="0" quotePrefix="1" applyBorder="1" applyAlignment="1">
      <alignment horizontal="left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quotePrefix="1" applyBorder="1" applyAlignment="1">
      <alignment horizontal="left" wrapText="1"/>
    </xf>
    <xf numFmtId="0" fontId="0" fillId="0" borderId="0" xfId="0" applyBorder="1" applyAlignment="1">
      <alignment horizontal="center" wrapText="1"/>
    </xf>
    <xf numFmtId="0" fontId="0" fillId="0" borderId="0" xfId="0" applyAlignment="1">
      <alignment horizontal="center"/>
    </xf>
    <xf numFmtId="171" fontId="0" fillId="0" borderId="0" xfId="0" applyNumberFormat="1"/>
    <xf numFmtId="0" fontId="13" fillId="4" borderId="0" xfId="0" applyFont="1" applyFill="1"/>
    <xf numFmtId="169" fontId="0" fillId="0" borderId="0" xfId="5" applyNumberFormat="1" applyFont="1" applyFill="1"/>
    <xf numFmtId="0" fontId="0" fillId="0" borderId="0" xfId="0" applyFill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Alignment="1">
      <alignment horizontal="center" wrapText="1"/>
    </xf>
    <xf numFmtId="164" fontId="15" fillId="0" borderId="0" xfId="1" applyNumberFormat="1" applyFont="1"/>
    <xf numFmtId="164" fontId="0" fillId="0" borderId="0" xfId="1" applyNumberFormat="1" applyFont="1" applyFill="1"/>
    <xf numFmtId="167" fontId="0" fillId="0" borderId="0" xfId="0" applyNumberForma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0" fillId="0" borderId="0" xfId="0" applyFont="1" applyAlignment="1"/>
    <xf numFmtId="0" fontId="10" fillId="0" borderId="0" xfId="0" applyFont="1" applyAlignment="1">
      <alignment vertical="top"/>
    </xf>
    <xf numFmtId="0" fontId="0" fillId="0" borderId="0" xfId="0" quotePrefix="1" applyBorder="1" applyAlignment="1">
      <alignment horizontal="left" wrapText="1"/>
    </xf>
    <xf numFmtId="0" fontId="0" fillId="0" borderId="0" xfId="0" applyAlignment="1">
      <alignment horizontal="center"/>
    </xf>
    <xf numFmtId="5" fontId="0" fillId="0" borderId="0" xfId="0" applyNumberFormat="1"/>
    <xf numFmtId="5" fontId="0" fillId="0" borderId="7" xfId="0" applyNumberFormat="1" applyBorder="1"/>
    <xf numFmtId="0" fontId="0" fillId="0" borderId="0" xfId="0" quotePrefix="1" applyAlignment="1">
      <alignment horizontal="center" vertical="top"/>
    </xf>
    <xf numFmtId="0" fontId="0" fillId="0" borderId="0" xfId="0" applyAlignment="1">
      <alignment horizontal="center" wrapText="1"/>
    </xf>
    <xf numFmtId="0" fontId="0" fillId="0" borderId="0" xfId="0" quotePrefix="1" applyBorder="1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/>
    <xf numFmtId="5" fontId="0" fillId="0" borderId="0" xfId="0" applyNumberFormat="1" applyBorder="1"/>
    <xf numFmtId="0" fontId="0" fillId="0" borderId="0" xfId="0" applyAlignment="1">
      <alignment horizontal="center"/>
    </xf>
    <xf numFmtId="10" fontId="0" fillId="0" borderId="0" xfId="0" applyNumberFormat="1"/>
    <xf numFmtId="169" fontId="0" fillId="0" borderId="0" xfId="0" applyNumberFormat="1"/>
    <xf numFmtId="5" fontId="0" fillId="0" borderId="0" xfId="0" applyNumberFormat="1" applyFill="1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66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Font="1" applyAlignment="1">
      <alignment vertical="top" wrapText="1"/>
    </xf>
    <xf numFmtId="169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17" fontId="0" fillId="0" borderId="0" xfId="0" applyNumberFormat="1"/>
    <xf numFmtId="44" fontId="0" fillId="0" borderId="0" xfId="5" applyNumberFormat="1" applyFont="1"/>
    <xf numFmtId="7" fontId="0" fillId="0" borderId="0" xfId="0" applyNumberFormat="1" applyBorder="1"/>
    <xf numFmtId="44" fontId="0" fillId="0" borderId="0" xfId="0" applyNumberFormat="1"/>
    <xf numFmtId="10" fontId="15" fillId="0" borderId="0" xfId="0" applyNumberFormat="1" applyFont="1"/>
    <xf numFmtId="44" fontId="0" fillId="0" borderId="0" xfId="5" applyNumberFormat="1" applyFont="1" applyFill="1"/>
    <xf numFmtId="44" fontId="10" fillId="0" borderId="0" xfId="0" applyNumberFormat="1" applyFont="1"/>
    <xf numFmtId="17" fontId="10" fillId="0" borderId="0" xfId="0" applyNumberFormat="1" applyFont="1" applyBorder="1" applyAlignment="1">
      <alignment horizontal="righ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8" fillId="0" borderId="0" xfId="0" applyFont="1"/>
    <xf numFmtId="37" fontId="0" fillId="0" borderId="0" xfId="0" applyNumberFormat="1"/>
    <xf numFmtId="172" fontId="0" fillId="0" borderId="0" xfId="5" applyNumberFormat="1" applyFont="1"/>
    <xf numFmtId="172" fontId="13" fillId="0" borderId="0" xfId="5" applyNumberFormat="1" applyFont="1"/>
    <xf numFmtId="172" fontId="0" fillId="0" borderId="0" xfId="0" applyNumberFormat="1"/>
    <xf numFmtId="0" fontId="8" fillId="0" borderId="0" xfId="0" quotePrefix="1" applyFont="1" applyAlignment="1">
      <alignment horizontal="center"/>
    </xf>
    <xf numFmtId="37" fontId="0" fillId="0" borderId="0" xfId="0" applyNumberFormat="1" applyAlignment="1">
      <alignment horizontal="center"/>
    </xf>
    <xf numFmtId="0" fontId="8" fillId="0" borderId="0" xfId="0" applyFont="1" applyAlignment="1">
      <alignment wrapText="1"/>
    </xf>
    <xf numFmtId="0" fontId="8" fillId="0" borderId="0" xfId="0" quotePrefix="1" applyFont="1" applyAlignment="1">
      <alignment horizontal="center" vertical="center"/>
    </xf>
    <xf numFmtId="37" fontId="0" fillId="0" borderId="0" xfId="0" applyNumberFormat="1" applyAlignment="1">
      <alignment vertical="center"/>
    </xf>
    <xf numFmtId="172" fontId="0" fillId="0" borderId="0" xfId="5" applyNumberFormat="1" applyFont="1" applyAlignment="1">
      <alignment vertical="center"/>
    </xf>
    <xf numFmtId="169" fontId="0" fillId="0" borderId="0" xfId="5" applyNumberFormat="1" applyFont="1" applyAlignment="1">
      <alignment vertical="center"/>
    </xf>
    <xf numFmtId="169" fontId="0" fillId="0" borderId="0" xfId="0" applyNumberFormat="1" applyAlignment="1">
      <alignment vertical="center"/>
    </xf>
    <xf numFmtId="172" fontId="13" fillId="0" borderId="0" xfId="5" applyNumberFormat="1" applyFont="1" applyAlignment="1">
      <alignment vertical="center"/>
    </xf>
    <xf numFmtId="172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0" fontId="0" fillId="0" borderId="0" xfId="2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37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left" indent="3"/>
    </xf>
    <xf numFmtId="169" fontId="0" fillId="0" borderId="0" xfId="0" applyNumberFormat="1" applyFill="1"/>
    <xf numFmtId="173" fontId="0" fillId="0" borderId="0" xfId="2" applyNumberFormat="1" applyFont="1"/>
    <xf numFmtId="174" fontId="0" fillId="0" borderId="0" xfId="0" applyNumberFormat="1"/>
    <xf numFmtId="175" fontId="0" fillId="0" borderId="0" xfId="5" applyNumberFormat="1" applyFont="1"/>
    <xf numFmtId="0" fontId="0" fillId="0" borderId="0" xfId="0" applyAlignment="1">
      <alignment horizontal="right"/>
    </xf>
    <xf numFmtId="7" fontId="0" fillId="0" borderId="0" xfId="5" applyNumberFormat="1" applyFont="1"/>
    <xf numFmtId="7" fontId="0" fillId="0" borderId="7" xfId="5" applyNumberFormat="1" applyFont="1" applyBorder="1"/>
    <xf numFmtId="174" fontId="0" fillId="0" borderId="7" xfId="0" applyNumberFormat="1" applyBorder="1"/>
    <xf numFmtId="44" fontId="0" fillId="0" borderId="0" xfId="5" applyFont="1"/>
    <xf numFmtId="164" fontId="0" fillId="0" borderId="7" xfId="1" applyNumberFormat="1" applyFont="1" applyBorder="1"/>
    <xf numFmtId="10" fontId="0" fillId="0" borderId="0" xfId="0" applyNumberFormat="1" applyBorder="1"/>
    <xf numFmtId="0" fontId="0" fillId="0" borderId="0" xfId="0" applyFill="1" applyBorder="1" applyAlignment="1">
      <alignment horizontal="center" wrapText="1"/>
    </xf>
    <xf numFmtId="10" fontId="19" fillId="0" borderId="0" xfId="0" applyNumberFormat="1" applyFont="1"/>
    <xf numFmtId="169" fontId="0" fillId="0" borderId="0" xfId="0" applyNumberFormat="1" applyFill="1" applyAlignment="1">
      <alignment horizontal="center"/>
    </xf>
    <xf numFmtId="7" fontId="0" fillId="0" borderId="0" xfId="5" applyNumberFormat="1" applyFont="1" applyFill="1"/>
    <xf numFmtId="0" fontId="13" fillId="0" borderId="0" xfId="0" applyFont="1"/>
    <xf numFmtId="0" fontId="13" fillId="0" borderId="0" xfId="0" applyFont="1" applyAlignment="1">
      <alignment horizontal="center"/>
    </xf>
    <xf numFmtId="37" fontId="10" fillId="0" borderId="0" xfId="0" applyNumberFormat="1" applyFont="1"/>
    <xf numFmtId="172" fontId="10" fillId="0" borderId="0" xfId="5" applyNumberFormat="1" applyFont="1"/>
    <xf numFmtId="169" fontId="10" fillId="0" borderId="0" xfId="5" applyNumberFormat="1" applyFont="1"/>
    <xf numFmtId="169" fontId="10" fillId="0" borderId="0" xfId="0" applyNumberFormat="1" applyFont="1"/>
    <xf numFmtId="172" fontId="10" fillId="0" borderId="0" xfId="0" applyNumberFormat="1" applyFont="1"/>
    <xf numFmtId="0" fontId="14" fillId="0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quotePrefix="1" applyBorder="1" applyAlignment="1">
      <alignment horizontal="left" wrapText="1"/>
    </xf>
    <xf numFmtId="0" fontId="18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quotePrefix="1" applyBorder="1" applyAlignment="1">
      <alignment horizontal="justify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left" wrapText="1"/>
    </xf>
    <xf numFmtId="0" fontId="18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wrapText="1"/>
    </xf>
    <xf numFmtId="0" fontId="10" fillId="0" borderId="0" xfId="0" applyFont="1" applyAlignment="1">
      <alignment horizontal="center"/>
    </xf>
    <xf numFmtId="0" fontId="0" fillId="0" borderId="0" xfId="0" quotePrefix="1" applyAlignment="1">
      <alignment horizontal="justify" wrapText="1"/>
    </xf>
    <xf numFmtId="0" fontId="0" fillId="0" borderId="0" xfId="0" applyFont="1" applyAlignment="1">
      <alignment horizontal="left" vertical="top" wrapText="1"/>
    </xf>
    <xf numFmtId="0" fontId="0" fillId="0" borderId="0" xfId="0" quotePrefix="1" applyFill="1" applyAlignment="1">
      <alignment horizontal="justify" wrapText="1"/>
    </xf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center"/>
    </xf>
    <xf numFmtId="0" fontId="2" fillId="0" borderId="0" xfId="3" applyFont="1" applyAlignment="1">
      <alignment horizontal="center"/>
    </xf>
    <xf numFmtId="0" fontId="0" fillId="0" borderId="0" xfId="0" quotePrefix="1" applyAlignment="1">
      <alignment horizontal="left" wrapText="1"/>
    </xf>
  </cellXfs>
  <cellStyles count="7">
    <cellStyle name="Comma" xfId="1" builtinId="3"/>
    <cellStyle name="Currency" xfId="5" builtinId="4"/>
    <cellStyle name="Hyperlink" xfId="6" builtinId="8"/>
    <cellStyle name="Normal" xfId="0" builtinId="0"/>
    <cellStyle name="Normal 10" xfId="3"/>
    <cellStyle name="Normal 2 2" xfId="4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erc.gov/enforcement/acct-matts/interest-rates.asp" TargetMode="External"/><Relationship Id="rId7" Type="http://schemas.openxmlformats.org/officeDocument/2006/relationships/comments" Target="../comments2.x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vmlDrawing" Target="../drawings/vmlDrawing2.v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://www.ferc.gov/enforcement/acct-matts/interest-rates.asp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erc.gov/enforcement/acct-matts/interest-rates.asp" TargetMode="External"/><Relationship Id="rId7" Type="http://schemas.openxmlformats.org/officeDocument/2006/relationships/comments" Target="../comments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vmlDrawing" Target="../drawings/vmlDrawing3.vml"/><Relationship Id="rId5" Type="http://schemas.openxmlformats.org/officeDocument/2006/relationships/printerSettings" Target="../printerSettings/printerSettings7.bin"/><Relationship Id="rId4" Type="http://schemas.openxmlformats.org/officeDocument/2006/relationships/hyperlink" Target="http://www.ferc.gov/enforcement/acct-matts/interest-rates.asp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hyperlink" Target="http://www.ferc.gov/enforcement/acct-matts/interest-rates.asp" TargetMode="External"/><Relationship Id="rId1" Type="http://schemas.openxmlformats.org/officeDocument/2006/relationships/hyperlink" Target="http://www.ferc.gov/enforcement/acct-matts/interest-rates.a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P70"/>
  <sheetViews>
    <sheetView workbookViewId="0">
      <selection activeCell="P29" sqref="P29"/>
    </sheetView>
  </sheetViews>
  <sheetFormatPr defaultRowHeight="14.4" outlineLevelCol="1" x14ac:dyDescent="0.3"/>
  <cols>
    <col min="2" max="2" width="3.6640625" customWidth="1"/>
    <col min="3" max="3" width="13.6640625" customWidth="1" outlineLevel="1"/>
    <col min="4" max="4" width="12.5546875" customWidth="1" outlineLevel="1"/>
    <col min="5" max="5" width="12.5546875" style="106" customWidth="1" outlineLevel="1"/>
    <col min="6" max="7" width="11.109375" customWidth="1" outlineLevel="1"/>
    <col min="8" max="9" width="12.5546875" customWidth="1" outlineLevel="1"/>
    <col min="10" max="10" width="2.109375" customWidth="1"/>
    <col min="12" max="12" width="2.109375" customWidth="1"/>
    <col min="13" max="13" width="11" bestFit="1" customWidth="1"/>
    <col min="14" max="14" width="11.44140625" customWidth="1"/>
  </cols>
  <sheetData>
    <row r="1" spans="1:16" x14ac:dyDescent="0.3">
      <c r="A1" s="178"/>
      <c r="B1" s="83" t="s">
        <v>204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</row>
    <row r="2" spans="1:16" x14ac:dyDescent="0.3">
      <c r="A2" s="178"/>
      <c r="B2" t="s">
        <v>105</v>
      </c>
    </row>
    <row r="3" spans="1:16" x14ac:dyDescent="0.3">
      <c r="A3" s="81"/>
      <c r="B3" s="81"/>
      <c r="C3" s="81" t="s">
        <v>106</v>
      </c>
      <c r="K3" s="179" t="s">
        <v>110</v>
      </c>
      <c r="L3" s="88"/>
      <c r="M3" s="180" t="s">
        <v>111</v>
      </c>
      <c r="N3" s="181"/>
    </row>
    <row r="4" spans="1:16" x14ac:dyDescent="0.3">
      <c r="C4" s="86" t="s">
        <v>99</v>
      </c>
      <c r="D4" s="86" t="s">
        <v>100</v>
      </c>
      <c r="E4" s="129" t="s">
        <v>205</v>
      </c>
      <c r="F4" s="86" t="s">
        <v>101</v>
      </c>
      <c r="G4" s="86" t="s">
        <v>102</v>
      </c>
      <c r="H4" s="86" t="s">
        <v>103</v>
      </c>
      <c r="I4" s="86" t="s">
        <v>104</v>
      </c>
      <c r="K4" s="179"/>
      <c r="L4" s="88"/>
      <c r="M4" s="84" t="s">
        <v>108</v>
      </c>
      <c r="N4" s="85" t="s">
        <v>109</v>
      </c>
    </row>
    <row r="5" spans="1:16" x14ac:dyDescent="0.3">
      <c r="A5" s="80">
        <v>43282</v>
      </c>
      <c r="C5" s="56">
        <v>2346060.5829928336</v>
      </c>
      <c r="D5" s="56">
        <v>1466082.1057569257</v>
      </c>
      <c r="E5" s="56">
        <v>3994.4984280417079</v>
      </c>
      <c r="F5" s="56">
        <v>254897.11461633499</v>
      </c>
      <c r="G5" s="56">
        <v>38225.876681721442</v>
      </c>
      <c r="H5" s="56">
        <v>2286732</v>
      </c>
      <c r="I5" s="56">
        <v>3541044</v>
      </c>
      <c r="K5" s="89">
        <v>40734</v>
      </c>
      <c r="L5" s="56"/>
      <c r="M5" s="61">
        <f t="shared" ref="M5:M22" si="0">C5</f>
        <v>2346060.5829928336</v>
      </c>
      <c r="N5" s="61">
        <f t="shared" ref="N5:N22" si="1">D5+F5-K5</f>
        <v>1680245.2203732606</v>
      </c>
    </row>
    <row r="6" spans="1:16" x14ac:dyDescent="0.3">
      <c r="A6" s="80">
        <f>A5+31</f>
        <v>43313</v>
      </c>
      <c r="C6" s="56">
        <v>1852411.921005728</v>
      </c>
      <c r="D6" s="56">
        <v>1889047.6033873027</v>
      </c>
      <c r="E6" s="56">
        <v>6250.8157337124394</v>
      </c>
      <c r="F6" s="56">
        <v>314855.95580327342</v>
      </c>
      <c r="G6" s="56">
        <v>38563.898982663552</v>
      </c>
      <c r="H6" s="56">
        <v>2136374</v>
      </c>
      <c r="I6" s="56">
        <v>3379086</v>
      </c>
      <c r="K6" s="89">
        <v>20998</v>
      </c>
      <c r="L6" s="56"/>
      <c r="M6" s="61">
        <f t="shared" si="0"/>
        <v>1852411.921005728</v>
      </c>
      <c r="N6" s="61">
        <f t="shared" si="1"/>
        <v>2182905.559190576</v>
      </c>
    </row>
    <row r="7" spans="1:16" x14ac:dyDescent="0.3">
      <c r="A7" s="80">
        <f t="shared" ref="A7:A22" si="2">A6+31</f>
        <v>43344</v>
      </c>
      <c r="C7" s="56">
        <v>3099043.1537913671</v>
      </c>
      <c r="D7" s="56">
        <v>1624380.2630032613</v>
      </c>
      <c r="E7" s="56">
        <v>6028.820360167374</v>
      </c>
      <c r="F7" s="56">
        <v>267892.42456124199</v>
      </c>
      <c r="G7" s="56">
        <v>30525.255185309459</v>
      </c>
      <c r="H7" s="56">
        <v>2224910</v>
      </c>
      <c r="I7" s="56">
        <v>3477744</v>
      </c>
      <c r="K7" s="89">
        <v>21579</v>
      </c>
      <c r="L7" s="56"/>
      <c r="M7" s="61">
        <f t="shared" si="0"/>
        <v>3099043.1537913671</v>
      </c>
      <c r="N7" s="61">
        <f t="shared" si="1"/>
        <v>1870693.6875645034</v>
      </c>
    </row>
    <row r="8" spans="1:16" x14ac:dyDescent="0.3">
      <c r="A8" s="80">
        <f t="shared" si="2"/>
        <v>43375</v>
      </c>
      <c r="C8" s="56">
        <v>7701763.1214809753</v>
      </c>
      <c r="D8" s="56">
        <v>4600352.463120956</v>
      </c>
      <c r="E8" s="56">
        <v>15929.298371941417</v>
      </c>
      <c r="F8" s="56">
        <v>473496.58980237989</v>
      </c>
      <c r="G8" s="56">
        <v>76529.620442368046</v>
      </c>
      <c r="H8" s="56">
        <v>2306410</v>
      </c>
      <c r="I8" s="56">
        <v>3573856</v>
      </c>
      <c r="K8" s="89">
        <v>24611</v>
      </c>
      <c r="L8" s="56"/>
      <c r="M8" s="61">
        <f t="shared" si="0"/>
        <v>7701763.1214809753</v>
      </c>
      <c r="N8" s="61">
        <f t="shared" si="1"/>
        <v>5049238.0529233357</v>
      </c>
    </row>
    <row r="9" spans="1:16" x14ac:dyDescent="0.3">
      <c r="A9" s="80">
        <f t="shared" si="2"/>
        <v>43406</v>
      </c>
      <c r="C9" s="56">
        <v>15387691.504134728</v>
      </c>
      <c r="D9" s="56">
        <v>7040097.6445452003</v>
      </c>
      <c r="E9" s="56">
        <v>21992.030217143711</v>
      </c>
      <c r="F9" s="56">
        <v>620911.20834802766</v>
      </c>
      <c r="G9" s="56">
        <v>118749.25838562621</v>
      </c>
      <c r="H9" s="56">
        <v>3148266</v>
      </c>
      <c r="I9" s="56">
        <v>4093119</v>
      </c>
      <c r="K9" s="89">
        <v>38668</v>
      </c>
      <c r="L9" s="56"/>
      <c r="M9" s="61">
        <f t="shared" si="0"/>
        <v>15387691.504134728</v>
      </c>
      <c r="N9" s="61">
        <f t="shared" si="1"/>
        <v>7622340.8528932277</v>
      </c>
    </row>
    <row r="10" spans="1:16" x14ac:dyDescent="0.3">
      <c r="A10" s="80">
        <f t="shared" si="2"/>
        <v>43437</v>
      </c>
      <c r="C10" s="56">
        <v>22977493.401407786</v>
      </c>
      <c r="D10" s="56">
        <v>8732477.825096678</v>
      </c>
      <c r="E10" s="56">
        <v>23429.017060866798</v>
      </c>
      <c r="F10" s="56">
        <v>527349.55100157659</v>
      </c>
      <c r="G10" s="56">
        <v>130308.81651723117</v>
      </c>
      <c r="H10" s="56">
        <v>3495864</v>
      </c>
      <c r="I10" s="56">
        <v>4472132</v>
      </c>
      <c r="K10" s="89">
        <v>47834</v>
      </c>
      <c r="L10" s="56"/>
      <c r="M10" s="61">
        <f t="shared" si="0"/>
        <v>22977493.401407786</v>
      </c>
      <c r="N10" s="61">
        <f t="shared" si="1"/>
        <v>9211993.3760982547</v>
      </c>
    </row>
    <row r="11" spans="1:16" x14ac:dyDescent="0.3">
      <c r="A11" s="80">
        <f t="shared" si="2"/>
        <v>43468</v>
      </c>
      <c r="C11" s="56">
        <v>22572392.86993093</v>
      </c>
      <c r="D11" s="56">
        <v>8920007.4445206318</v>
      </c>
      <c r="E11" s="56">
        <v>20250.577434154729</v>
      </c>
      <c r="F11" s="56">
        <v>575525.41371634277</v>
      </c>
      <c r="G11" s="56">
        <v>138402.46382919731</v>
      </c>
      <c r="H11" s="56">
        <v>4016476</v>
      </c>
      <c r="I11" s="56">
        <v>4859180</v>
      </c>
      <c r="K11" s="89">
        <v>40826</v>
      </c>
      <c r="L11" s="56"/>
      <c r="M11" s="61">
        <f t="shared" si="0"/>
        <v>22572392.86993093</v>
      </c>
      <c r="N11" s="61">
        <f t="shared" si="1"/>
        <v>9454706.8582369741</v>
      </c>
    </row>
    <row r="12" spans="1:16" x14ac:dyDescent="0.3">
      <c r="A12" s="80">
        <f t="shared" si="2"/>
        <v>43499</v>
      </c>
      <c r="C12" s="56">
        <v>18044864.179383673</v>
      </c>
      <c r="D12" s="56">
        <v>6634971.6214978471</v>
      </c>
      <c r="E12" s="56">
        <v>13010.31202546327</v>
      </c>
      <c r="F12" s="56">
        <v>472333.13873360242</v>
      </c>
      <c r="G12" s="56">
        <v>110424.38526851442</v>
      </c>
      <c r="H12" s="56">
        <v>4194866</v>
      </c>
      <c r="I12" s="56">
        <v>4952310</v>
      </c>
      <c r="K12" s="89">
        <v>37806</v>
      </c>
      <c r="L12" s="56"/>
      <c r="M12" s="61">
        <f t="shared" si="0"/>
        <v>18044864.179383673</v>
      </c>
      <c r="N12" s="61">
        <f t="shared" si="1"/>
        <v>7069498.7602314493</v>
      </c>
    </row>
    <row r="13" spans="1:16" x14ac:dyDescent="0.3">
      <c r="A13" s="80">
        <f t="shared" si="2"/>
        <v>43530</v>
      </c>
      <c r="C13" s="56">
        <v>14969819.097326754</v>
      </c>
      <c r="D13" s="56">
        <v>6017313.563422624</v>
      </c>
      <c r="E13" s="56">
        <v>11499.712882920985</v>
      </c>
      <c r="F13" s="56">
        <v>434669.27177471819</v>
      </c>
      <c r="G13" s="56">
        <v>100573.31351941936</v>
      </c>
      <c r="H13" s="56">
        <v>3611777</v>
      </c>
      <c r="I13" s="56">
        <v>4425620</v>
      </c>
      <c r="K13" s="89">
        <v>38371</v>
      </c>
      <c r="L13" s="56"/>
      <c r="M13" s="61">
        <f t="shared" si="0"/>
        <v>14969819.097326754</v>
      </c>
      <c r="N13" s="61">
        <f t="shared" si="1"/>
        <v>6413611.8351973426</v>
      </c>
    </row>
    <row r="14" spans="1:16" x14ac:dyDescent="0.3">
      <c r="A14" s="80">
        <f t="shared" si="2"/>
        <v>43561</v>
      </c>
      <c r="C14" s="56">
        <v>9451270.1405688021</v>
      </c>
      <c r="D14" s="56">
        <v>3791211.0725946939</v>
      </c>
      <c r="E14" s="56">
        <v>7665.597121790709</v>
      </c>
      <c r="F14" s="56">
        <v>313430.15285417554</v>
      </c>
      <c r="G14" s="56">
        <v>69932.360650378381</v>
      </c>
      <c r="H14" s="56">
        <v>3565969</v>
      </c>
      <c r="I14" s="56">
        <v>4424842</v>
      </c>
      <c r="K14" s="89">
        <v>24569</v>
      </c>
      <c r="L14" s="56"/>
      <c r="M14" s="61">
        <f t="shared" si="0"/>
        <v>9451270.1405688021</v>
      </c>
      <c r="N14" s="61">
        <f t="shared" si="1"/>
        <v>4080072.2254488692</v>
      </c>
    </row>
    <row r="15" spans="1:16" x14ac:dyDescent="0.3">
      <c r="A15" s="80">
        <f t="shared" si="2"/>
        <v>43592</v>
      </c>
      <c r="C15" s="56">
        <v>5030517.7530769575</v>
      </c>
      <c r="D15" s="56">
        <v>2298888.3189190407</v>
      </c>
      <c r="E15" s="56">
        <v>4650.3698735219668</v>
      </c>
      <c r="F15" s="56">
        <v>252835.90419457926</v>
      </c>
      <c r="G15" s="56">
        <v>51173.851866115787</v>
      </c>
      <c r="H15" s="56">
        <v>3017941</v>
      </c>
      <c r="I15" s="56">
        <v>4047057</v>
      </c>
      <c r="K15" s="89">
        <v>21174</v>
      </c>
      <c r="L15" s="56"/>
      <c r="M15" s="61">
        <f t="shared" si="0"/>
        <v>5030517.7530769575</v>
      </c>
      <c r="N15" s="61">
        <f t="shared" si="1"/>
        <v>2530550.2231136202</v>
      </c>
    </row>
    <row r="16" spans="1:16" x14ac:dyDescent="0.3">
      <c r="A16" s="80">
        <f t="shared" si="2"/>
        <v>43623</v>
      </c>
      <c r="C16" s="56">
        <v>2846316.8900918099</v>
      </c>
      <c r="D16" s="56">
        <v>1559495.2425886882</v>
      </c>
      <c r="E16" s="56">
        <v>3604.0537165676715</v>
      </c>
      <c r="F16" s="56">
        <v>211227.15637691299</v>
      </c>
      <c r="G16" s="56">
        <v>38319.32726484086</v>
      </c>
      <c r="H16" s="56">
        <v>2601293</v>
      </c>
      <c r="I16" s="56">
        <v>3733720</v>
      </c>
      <c r="K16" s="89">
        <v>12328</v>
      </c>
      <c r="L16" s="56"/>
      <c r="M16" s="61">
        <f t="shared" si="0"/>
        <v>2846316.8900918099</v>
      </c>
      <c r="N16" s="61">
        <f t="shared" si="1"/>
        <v>1758394.3989656011</v>
      </c>
    </row>
    <row r="17" spans="1:14" x14ac:dyDescent="0.3">
      <c r="A17" s="80">
        <f t="shared" si="2"/>
        <v>43654</v>
      </c>
      <c r="C17" s="56">
        <v>2184405.0037857783</v>
      </c>
      <c r="D17" s="56">
        <v>1647738.073337218</v>
      </c>
      <c r="E17" s="56">
        <v>4665.8219570081774</v>
      </c>
      <c r="F17" s="56">
        <v>281350.79628296639</v>
      </c>
      <c r="G17" s="56">
        <v>44255.702001881873</v>
      </c>
      <c r="H17" s="56">
        <v>2341923</v>
      </c>
      <c r="I17" s="56">
        <v>3592927</v>
      </c>
      <c r="K17" s="89">
        <v>40734</v>
      </c>
      <c r="L17" s="56"/>
      <c r="M17" s="61">
        <f t="shared" si="0"/>
        <v>2184405.0037857783</v>
      </c>
      <c r="N17" s="61">
        <f t="shared" si="1"/>
        <v>1888354.8696201844</v>
      </c>
    </row>
    <row r="18" spans="1:14" x14ac:dyDescent="0.3">
      <c r="A18" s="80">
        <f t="shared" si="2"/>
        <v>43685</v>
      </c>
      <c r="C18" s="56">
        <v>2479637.8087541997</v>
      </c>
      <c r="D18" s="56">
        <v>1400019.9269831663</v>
      </c>
      <c r="E18" s="56">
        <v>4479.8291330914062</v>
      </c>
      <c r="F18" s="56">
        <v>238625.7694304933</v>
      </c>
      <c r="G18" s="56">
        <v>24592.75146685561</v>
      </c>
      <c r="H18" s="56">
        <v>2192880</v>
      </c>
      <c r="I18" s="56">
        <v>3413044</v>
      </c>
      <c r="K18" s="89">
        <v>20998</v>
      </c>
      <c r="L18" s="56"/>
      <c r="M18" s="61">
        <f t="shared" si="0"/>
        <v>2479637.8087541997</v>
      </c>
      <c r="N18" s="61">
        <f t="shared" si="1"/>
        <v>1617647.6964136595</v>
      </c>
    </row>
    <row r="19" spans="1:14" x14ac:dyDescent="0.3">
      <c r="A19" s="80">
        <f t="shared" si="2"/>
        <v>43716</v>
      </c>
      <c r="C19" s="56">
        <v>2527740.0991124446</v>
      </c>
      <c r="D19" s="56">
        <v>2188198.1012131041</v>
      </c>
      <c r="E19" s="56">
        <v>7849.5811551929464</v>
      </c>
      <c r="F19" s="56">
        <v>327760.47391709295</v>
      </c>
      <c r="G19" s="56">
        <v>35201.434761008131</v>
      </c>
      <c r="H19" s="56">
        <v>2233771</v>
      </c>
      <c r="I19" s="56">
        <v>3538051</v>
      </c>
      <c r="K19" s="89">
        <v>21579</v>
      </c>
      <c r="L19" s="56"/>
      <c r="M19" s="61">
        <f t="shared" si="0"/>
        <v>2527740.0991124446</v>
      </c>
      <c r="N19" s="61">
        <f t="shared" si="1"/>
        <v>2494379.5751301972</v>
      </c>
    </row>
    <row r="20" spans="1:14" x14ac:dyDescent="0.3">
      <c r="A20" s="80">
        <f t="shared" si="2"/>
        <v>43747</v>
      </c>
      <c r="C20" s="56">
        <v>8056748.4713036316</v>
      </c>
      <c r="D20" s="56">
        <v>4392550.5555872759</v>
      </c>
      <c r="E20" s="56">
        <v>15322.340427108202</v>
      </c>
      <c r="F20" s="56">
        <v>494685.72381366143</v>
      </c>
      <c r="G20" s="56">
        <v>70611.147898500683</v>
      </c>
      <c r="H20" s="56">
        <v>2405362</v>
      </c>
      <c r="I20" s="56">
        <v>3615845</v>
      </c>
      <c r="K20" s="89">
        <v>24611</v>
      </c>
      <c r="L20" s="56"/>
      <c r="M20" s="61">
        <f t="shared" si="0"/>
        <v>8056748.4713036316</v>
      </c>
      <c r="N20" s="61">
        <f t="shared" si="1"/>
        <v>4862625.2794009373</v>
      </c>
    </row>
    <row r="21" spans="1:14" x14ac:dyDescent="0.3">
      <c r="A21" s="80">
        <f t="shared" si="2"/>
        <v>43778</v>
      </c>
      <c r="C21" s="56">
        <v>15684661.680069087</v>
      </c>
      <c r="D21" s="56">
        <v>7064222.2213054029</v>
      </c>
      <c r="E21" s="56">
        <v>21500.829780125423</v>
      </c>
      <c r="F21" s="56">
        <v>596974.56379795086</v>
      </c>
      <c r="G21" s="56">
        <v>113373.124671743</v>
      </c>
      <c r="H21" s="56">
        <v>3117039</v>
      </c>
      <c r="I21" s="56">
        <v>4144387</v>
      </c>
      <c r="K21" s="89">
        <v>38668</v>
      </c>
      <c r="L21" s="56"/>
      <c r="M21" s="61">
        <f t="shared" si="0"/>
        <v>15684661.680069087</v>
      </c>
      <c r="N21" s="61">
        <f t="shared" si="1"/>
        <v>7622528.7851033537</v>
      </c>
    </row>
    <row r="22" spans="1:14" x14ac:dyDescent="0.3">
      <c r="A22" s="80">
        <f t="shared" si="2"/>
        <v>43809</v>
      </c>
      <c r="C22" s="56">
        <v>22815342.661019795</v>
      </c>
      <c r="D22" s="56">
        <v>9233844.1700875424</v>
      </c>
      <c r="E22" s="56">
        <v>24295.600567761445</v>
      </c>
      <c r="F22" s="56">
        <v>567151.68341207656</v>
      </c>
      <c r="G22" s="56">
        <v>134031.65063612064</v>
      </c>
      <c r="H22" s="56">
        <v>3480828</v>
      </c>
      <c r="I22" s="56">
        <v>4520970</v>
      </c>
      <c r="K22" s="89">
        <v>47834</v>
      </c>
      <c r="L22" s="56"/>
      <c r="M22" s="61">
        <f t="shared" si="0"/>
        <v>22815342.661019795</v>
      </c>
      <c r="N22" s="61">
        <f t="shared" si="1"/>
        <v>9753161.8534996193</v>
      </c>
    </row>
    <row r="23" spans="1:14" x14ac:dyDescent="0.3">
      <c r="A23" s="80"/>
      <c r="C23" s="56"/>
      <c r="D23" s="56"/>
      <c r="E23" s="56"/>
      <c r="F23" s="56"/>
      <c r="G23" s="56"/>
      <c r="H23" s="56"/>
      <c r="I23" s="56"/>
      <c r="K23" s="89"/>
      <c r="L23" s="56"/>
      <c r="M23" s="61"/>
      <c r="N23" s="61"/>
    </row>
    <row r="24" spans="1:14" x14ac:dyDescent="0.3">
      <c r="A24" s="80"/>
      <c r="C24" s="56"/>
      <c r="D24" s="56"/>
      <c r="E24" s="56"/>
      <c r="F24" s="56"/>
      <c r="G24" s="56"/>
      <c r="H24" s="56"/>
      <c r="I24" s="56"/>
      <c r="K24" s="89"/>
      <c r="L24" s="56"/>
      <c r="M24" s="61"/>
      <c r="N24" s="61"/>
    </row>
    <row r="25" spans="1:14" x14ac:dyDescent="0.3">
      <c r="A25" s="80"/>
      <c r="C25" s="56"/>
      <c r="D25" s="56"/>
      <c r="E25" s="56"/>
      <c r="F25" s="56"/>
      <c r="G25" s="56"/>
      <c r="H25" s="56"/>
      <c r="I25" s="56"/>
      <c r="K25" s="89"/>
      <c r="L25" s="56"/>
      <c r="M25" s="61"/>
      <c r="N25" s="61"/>
    </row>
    <row r="26" spans="1:14" x14ac:dyDescent="0.3">
      <c r="A26" s="80"/>
      <c r="C26" s="56"/>
      <c r="D26" s="56"/>
      <c r="E26" s="56"/>
      <c r="F26" s="56"/>
      <c r="G26" s="56"/>
      <c r="H26" s="56"/>
      <c r="I26" s="56"/>
      <c r="K26" s="89"/>
      <c r="L26" s="56"/>
      <c r="M26" s="61"/>
      <c r="N26" s="61"/>
    </row>
    <row r="27" spans="1:14" x14ac:dyDescent="0.3">
      <c r="A27" s="80"/>
      <c r="C27" s="56"/>
      <c r="D27" s="56"/>
      <c r="E27" s="56"/>
      <c r="F27" s="56"/>
      <c r="G27" s="56"/>
      <c r="H27" s="56"/>
      <c r="I27" s="56"/>
      <c r="K27" s="89"/>
      <c r="L27" s="56"/>
      <c r="M27" s="61"/>
      <c r="N27" s="61"/>
    </row>
    <row r="28" spans="1:14" x14ac:dyDescent="0.3">
      <c r="A28" s="80"/>
      <c r="C28" s="56"/>
      <c r="D28" s="56"/>
      <c r="E28" s="56"/>
      <c r="F28" s="56"/>
      <c r="G28" s="56"/>
      <c r="H28" s="56"/>
      <c r="I28" s="56"/>
      <c r="K28" s="89"/>
      <c r="L28" s="56"/>
      <c r="M28" s="61"/>
      <c r="N28" s="61"/>
    </row>
    <row r="29" spans="1:14" x14ac:dyDescent="0.3">
      <c r="A29" s="80"/>
      <c r="C29" s="56"/>
      <c r="D29" s="56"/>
      <c r="E29" s="56"/>
      <c r="F29" s="56"/>
      <c r="G29" s="56"/>
      <c r="H29" s="56"/>
      <c r="I29" s="56"/>
      <c r="K29" s="89"/>
      <c r="L29" s="56"/>
      <c r="M29" s="61"/>
      <c r="N29" s="61"/>
    </row>
    <row r="30" spans="1:14" x14ac:dyDescent="0.3">
      <c r="A30" s="80"/>
      <c r="C30" s="56"/>
      <c r="D30" s="56"/>
      <c r="E30" s="56"/>
      <c r="F30" s="56"/>
      <c r="G30" s="56"/>
      <c r="H30" s="56"/>
      <c r="I30" s="56"/>
      <c r="K30" s="89"/>
      <c r="L30" s="56"/>
      <c r="M30" s="61"/>
      <c r="N30" s="61"/>
    </row>
    <row r="31" spans="1:14" x14ac:dyDescent="0.3">
      <c r="A31" s="80"/>
      <c r="C31" s="56"/>
      <c r="D31" s="56"/>
      <c r="E31" s="56"/>
      <c r="F31" s="56"/>
      <c r="G31" s="56"/>
      <c r="H31" s="56"/>
      <c r="I31" s="56"/>
      <c r="K31" s="89"/>
      <c r="L31" s="56"/>
      <c r="M31" s="61"/>
      <c r="N31" s="61"/>
    </row>
    <row r="32" spans="1:14" x14ac:dyDescent="0.3">
      <c r="A32" s="80"/>
      <c r="C32" s="56"/>
      <c r="D32" s="56"/>
      <c r="E32" s="56"/>
      <c r="F32" s="56"/>
      <c r="G32" s="56"/>
      <c r="H32" s="56"/>
      <c r="I32" s="56"/>
      <c r="K32" s="89"/>
      <c r="L32" s="56"/>
      <c r="M32" s="61"/>
      <c r="N32" s="61"/>
    </row>
    <row r="33" spans="1:14" x14ac:dyDescent="0.3">
      <c r="A33" s="80"/>
      <c r="C33" s="56"/>
      <c r="D33" s="56"/>
      <c r="E33" s="56"/>
      <c r="F33" s="56"/>
      <c r="G33" s="56"/>
      <c r="H33" s="56"/>
      <c r="I33" s="56"/>
      <c r="K33" s="89"/>
      <c r="L33" s="56"/>
      <c r="M33" s="61"/>
      <c r="N33" s="61"/>
    </row>
    <row r="34" spans="1:14" x14ac:dyDescent="0.3">
      <c r="A34" s="80"/>
      <c r="C34" s="56"/>
      <c r="D34" s="56"/>
      <c r="E34" s="56"/>
      <c r="F34" s="56"/>
      <c r="G34" s="56"/>
      <c r="H34" s="56"/>
      <c r="I34" s="56"/>
      <c r="K34" s="89"/>
      <c r="L34" s="56"/>
      <c r="M34" s="61"/>
      <c r="N34" s="61"/>
    </row>
    <row r="35" spans="1:14" x14ac:dyDescent="0.3">
      <c r="A35" s="80"/>
      <c r="C35" s="56"/>
      <c r="D35" s="56"/>
      <c r="E35" s="56"/>
      <c r="F35" s="56"/>
      <c r="G35" s="56"/>
      <c r="H35" s="56"/>
      <c r="I35" s="56"/>
      <c r="K35" s="89"/>
      <c r="L35" s="56"/>
      <c r="M35" s="61"/>
      <c r="N35" s="61"/>
    </row>
    <row r="36" spans="1:14" x14ac:dyDescent="0.3">
      <c r="A36" s="80"/>
      <c r="C36" s="56"/>
      <c r="D36" s="56"/>
      <c r="E36" s="56"/>
      <c r="F36" s="56"/>
      <c r="G36" s="56"/>
      <c r="H36" s="56"/>
      <c r="I36" s="56"/>
      <c r="K36" s="89"/>
      <c r="L36" s="56"/>
      <c r="M36" s="61"/>
      <c r="N36" s="61"/>
    </row>
    <row r="37" spans="1:14" x14ac:dyDescent="0.3">
      <c r="A37" s="80"/>
      <c r="C37" s="56"/>
      <c r="D37" s="56"/>
      <c r="E37" s="56"/>
      <c r="F37" s="56"/>
      <c r="G37" s="56"/>
      <c r="H37" s="56"/>
      <c r="I37" s="56"/>
      <c r="K37" s="89"/>
      <c r="L37" s="56"/>
      <c r="M37" s="61"/>
      <c r="N37" s="61"/>
    </row>
    <row r="38" spans="1:14" x14ac:dyDescent="0.3">
      <c r="A38" s="80"/>
      <c r="C38" s="56"/>
      <c r="D38" s="56"/>
      <c r="E38" s="56"/>
      <c r="F38" s="56"/>
      <c r="G38" s="56"/>
      <c r="H38" s="56"/>
      <c r="I38" s="56"/>
      <c r="K38" s="89"/>
      <c r="L38" s="56"/>
      <c r="M38" s="61"/>
      <c r="N38" s="61"/>
    </row>
    <row r="39" spans="1:14" x14ac:dyDescent="0.3">
      <c r="A39" s="80"/>
      <c r="C39" s="56"/>
      <c r="D39" s="56"/>
      <c r="E39" s="56"/>
      <c r="F39" s="56"/>
      <c r="G39" s="56"/>
      <c r="H39" s="56"/>
      <c r="I39" s="56"/>
      <c r="K39" s="89"/>
      <c r="L39" s="56"/>
      <c r="M39" s="61"/>
      <c r="N39" s="61"/>
    </row>
    <row r="40" spans="1:14" x14ac:dyDescent="0.3">
      <c r="A40" s="80"/>
      <c r="C40" s="56"/>
      <c r="D40" s="56"/>
      <c r="E40" s="56"/>
      <c r="F40" s="56"/>
      <c r="G40" s="56"/>
      <c r="H40" s="56"/>
      <c r="I40" s="56"/>
      <c r="K40" s="89"/>
      <c r="L40" s="56"/>
      <c r="M40" s="61"/>
      <c r="N40" s="61"/>
    </row>
    <row r="41" spans="1:14" x14ac:dyDescent="0.3">
      <c r="A41" s="80"/>
      <c r="C41" s="56"/>
      <c r="D41" s="56"/>
      <c r="E41" s="56"/>
      <c r="F41" s="56"/>
      <c r="G41" s="56"/>
      <c r="H41" s="56"/>
      <c r="I41" s="56"/>
      <c r="K41" s="89"/>
      <c r="L41" s="56"/>
      <c r="M41" s="61"/>
      <c r="N41" s="61"/>
    </row>
    <row r="42" spans="1:14" x14ac:dyDescent="0.3">
      <c r="A42" s="80"/>
      <c r="C42" s="56"/>
      <c r="D42" s="56"/>
      <c r="E42" s="56"/>
      <c r="F42" s="56"/>
      <c r="G42" s="56"/>
      <c r="H42" s="56"/>
      <c r="I42" s="56"/>
      <c r="K42" s="89"/>
      <c r="L42" s="56"/>
      <c r="M42" s="61"/>
      <c r="N42" s="61"/>
    </row>
    <row r="43" spans="1:14" x14ac:dyDescent="0.3">
      <c r="A43" s="80"/>
      <c r="C43" s="56"/>
      <c r="D43" s="56"/>
      <c r="E43" s="56"/>
      <c r="F43" s="56"/>
      <c r="G43" s="56"/>
      <c r="H43" s="56"/>
      <c r="I43" s="56"/>
      <c r="K43" s="89"/>
      <c r="L43" s="56"/>
      <c r="M43" s="61"/>
      <c r="N43" s="61"/>
    </row>
    <row r="44" spans="1:14" x14ac:dyDescent="0.3">
      <c r="A44" s="80"/>
      <c r="C44" s="56"/>
      <c r="D44" s="56"/>
      <c r="E44" s="56"/>
      <c r="F44" s="56"/>
      <c r="G44" s="56"/>
      <c r="H44" s="56"/>
      <c r="I44" s="56"/>
      <c r="K44" s="89"/>
      <c r="L44" s="56"/>
      <c r="M44" s="61"/>
      <c r="N44" s="61"/>
    </row>
    <row r="45" spans="1:14" x14ac:dyDescent="0.3">
      <c r="A45" s="80"/>
      <c r="C45" s="56"/>
      <c r="D45" s="56"/>
      <c r="E45" s="56"/>
      <c r="F45" s="56"/>
      <c r="G45" s="56"/>
      <c r="H45" s="56"/>
      <c r="I45" s="56"/>
      <c r="K45" s="89"/>
      <c r="L45" s="56"/>
      <c r="M45" s="61"/>
      <c r="N45" s="61"/>
    </row>
    <row r="46" spans="1:14" x14ac:dyDescent="0.3">
      <c r="A46" s="80"/>
      <c r="C46" s="56"/>
      <c r="D46" s="56"/>
      <c r="E46" s="56"/>
      <c r="F46" s="56"/>
      <c r="G46" s="56"/>
      <c r="H46" s="56"/>
      <c r="I46" s="56"/>
      <c r="K46" s="89"/>
      <c r="L46" s="56"/>
      <c r="M46" s="61"/>
      <c r="N46" s="61"/>
    </row>
    <row r="47" spans="1:14" x14ac:dyDescent="0.3">
      <c r="A47" s="80"/>
      <c r="C47" s="56"/>
      <c r="D47" s="56"/>
      <c r="E47" s="56"/>
      <c r="F47" s="56"/>
      <c r="G47" s="56"/>
      <c r="H47" s="56"/>
      <c r="I47" s="56"/>
      <c r="K47" s="89"/>
      <c r="M47" s="61"/>
      <c r="N47" s="61"/>
    </row>
    <row r="48" spans="1:14" x14ac:dyDescent="0.3">
      <c r="A48" s="80"/>
      <c r="C48" s="56"/>
      <c r="D48" s="56"/>
      <c r="E48" s="56"/>
      <c r="F48" s="56"/>
      <c r="G48" s="56"/>
      <c r="H48" s="56"/>
      <c r="I48" s="56"/>
      <c r="K48" s="89"/>
      <c r="M48" s="61"/>
      <c r="N48" s="61"/>
    </row>
    <row r="49" spans="1:14" x14ac:dyDescent="0.3">
      <c r="A49" s="80"/>
      <c r="C49" s="56"/>
      <c r="D49" s="56"/>
      <c r="E49" s="56"/>
      <c r="F49" s="56"/>
      <c r="G49" s="56"/>
      <c r="H49" s="56"/>
      <c r="I49" s="56"/>
      <c r="K49" s="89"/>
      <c r="M49" s="61"/>
      <c r="N49" s="61"/>
    </row>
    <row r="50" spans="1:14" x14ac:dyDescent="0.3">
      <c r="A50" s="80"/>
      <c r="C50" s="56"/>
      <c r="D50" s="56"/>
      <c r="E50" s="56"/>
      <c r="F50" s="56"/>
      <c r="G50" s="56"/>
      <c r="H50" s="56"/>
      <c r="I50" s="56"/>
      <c r="K50" s="89"/>
      <c r="M50" s="61"/>
      <c r="N50" s="61"/>
    </row>
    <row r="51" spans="1:14" x14ac:dyDescent="0.3">
      <c r="A51" s="80"/>
      <c r="C51" s="56"/>
      <c r="D51" s="56"/>
      <c r="E51" s="56"/>
      <c r="F51" s="56"/>
      <c r="G51" s="56"/>
      <c r="H51" s="56"/>
      <c r="I51" s="56"/>
      <c r="K51" s="89"/>
      <c r="M51" s="61"/>
      <c r="N51" s="61"/>
    </row>
    <row r="52" spans="1:14" x14ac:dyDescent="0.3">
      <c r="A52" s="80"/>
      <c r="C52" s="56"/>
      <c r="D52" s="56"/>
      <c r="E52" s="56"/>
      <c r="F52" s="56"/>
      <c r="G52" s="56"/>
      <c r="H52" s="56"/>
      <c r="I52" s="56"/>
      <c r="K52" s="89"/>
      <c r="M52" s="61"/>
      <c r="N52" s="61"/>
    </row>
    <row r="53" spans="1:14" x14ac:dyDescent="0.3">
      <c r="A53" s="80"/>
      <c r="C53" s="56"/>
      <c r="D53" s="56"/>
      <c r="E53" s="56"/>
      <c r="F53" s="56"/>
      <c r="G53" s="56"/>
      <c r="H53" s="56"/>
      <c r="I53" s="56"/>
      <c r="K53" s="89"/>
      <c r="M53" s="61"/>
      <c r="N53" s="61"/>
    </row>
    <row r="54" spans="1:14" x14ac:dyDescent="0.3">
      <c r="A54" s="80"/>
      <c r="C54" s="56"/>
      <c r="D54" s="56"/>
      <c r="E54" s="56"/>
      <c r="F54" s="56"/>
      <c r="G54" s="56"/>
      <c r="H54" s="56"/>
      <c r="I54" s="56"/>
      <c r="K54" s="89"/>
      <c r="M54" s="61"/>
      <c r="N54" s="61"/>
    </row>
    <row r="55" spans="1:14" x14ac:dyDescent="0.3">
      <c r="A55" s="80"/>
      <c r="C55" s="56"/>
      <c r="D55" s="56"/>
      <c r="E55" s="56"/>
      <c r="F55" s="56"/>
      <c r="G55" s="56"/>
      <c r="H55" s="56"/>
      <c r="I55" s="56"/>
      <c r="K55" s="89"/>
      <c r="M55" s="61"/>
      <c r="N55" s="61"/>
    </row>
    <row r="56" spans="1:14" x14ac:dyDescent="0.3">
      <c r="A56" s="80"/>
      <c r="C56" s="56"/>
      <c r="D56" s="56"/>
      <c r="E56" s="56"/>
      <c r="F56" s="56"/>
      <c r="G56" s="56"/>
      <c r="H56" s="56"/>
      <c r="I56" s="56"/>
      <c r="K56" s="89"/>
      <c r="M56" s="61"/>
      <c r="N56" s="61"/>
    </row>
    <row r="57" spans="1:14" x14ac:dyDescent="0.3">
      <c r="A57" s="80"/>
      <c r="C57" s="56"/>
      <c r="D57" s="56"/>
      <c r="E57" s="56"/>
      <c r="F57" s="56"/>
      <c r="G57" s="56"/>
      <c r="H57" s="56"/>
      <c r="I57" s="56"/>
      <c r="K57" s="89"/>
      <c r="M57" s="61"/>
      <c r="N57" s="61"/>
    </row>
    <row r="58" spans="1:14" x14ac:dyDescent="0.3">
      <c r="A58" s="80"/>
      <c r="C58" s="56"/>
      <c r="D58" s="56"/>
      <c r="E58" s="56"/>
      <c r="F58" s="56"/>
      <c r="G58" s="56"/>
      <c r="H58" s="56"/>
      <c r="I58" s="56"/>
      <c r="K58" s="89"/>
      <c r="M58" s="61"/>
      <c r="N58" s="61"/>
    </row>
    <row r="59" spans="1:14" x14ac:dyDescent="0.3">
      <c r="A59" s="80"/>
      <c r="C59" s="56"/>
      <c r="D59" s="56"/>
      <c r="E59" s="56"/>
      <c r="F59" s="56"/>
      <c r="G59" s="56"/>
      <c r="H59" s="56"/>
      <c r="I59" s="56"/>
      <c r="K59" s="89"/>
      <c r="M59" s="61"/>
      <c r="N59" s="61"/>
    </row>
    <row r="60" spans="1:14" x14ac:dyDescent="0.3">
      <c r="A60" s="80"/>
      <c r="C60" s="56"/>
      <c r="D60" s="56"/>
      <c r="E60" s="56"/>
      <c r="F60" s="56"/>
      <c r="G60" s="56"/>
      <c r="H60" s="56"/>
      <c r="I60" s="56"/>
      <c r="K60" s="89"/>
      <c r="M60" s="61"/>
      <c r="N60" s="61"/>
    </row>
    <row r="61" spans="1:14" x14ac:dyDescent="0.3">
      <c r="A61" s="80"/>
      <c r="C61" s="56"/>
      <c r="D61" s="56"/>
      <c r="E61" s="56"/>
      <c r="F61" s="56"/>
      <c r="G61" s="56"/>
      <c r="H61" s="56"/>
      <c r="I61" s="56"/>
      <c r="K61" s="89"/>
      <c r="M61" s="61"/>
      <c r="N61" s="61"/>
    </row>
    <row r="62" spans="1:14" x14ac:dyDescent="0.3">
      <c r="A62" s="80"/>
      <c r="C62" s="56"/>
      <c r="D62" s="56"/>
      <c r="E62" s="56"/>
      <c r="F62" s="56"/>
      <c r="G62" s="56"/>
      <c r="H62" s="56"/>
      <c r="I62" s="56"/>
      <c r="K62" s="89"/>
      <c r="M62" s="61"/>
      <c r="N62" s="61"/>
    </row>
    <row r="63" spans="1:14" x14ac:dyDescent="0.3">
      <c r="A63" s="80"/>
      <c r="C63" s="56"/>
      <c r="D63" s="56"/>
      <c r="E63" s="56"/>
      <c r="F63" s="56"/>
      <c r="G63" s="56"/>
      <c r="H63" s="56"/>
      <c r="I63" s="56"/>
      <c r="K63" s="89"/>
      <c r="M63" s="61"/>
      <c r="N63" s="61"/>
    </row>
    <row r="64" spans="1:14" x14ac:dyDescent="0.3">
      <c r="A64" s="80"/>
      <c r="C64" s="56"/>
      <c r="D64" s="56"/>
      <c r="E64" s="56"/>
      <c r="F64" s="56"/>
      <c r="G64" s="56"/>
      <c r="H64" s="56"/>
      <c r="I64" s="56"/>
      <c r="K64" s="89"/>
      <c r="M64" s="61"/>
      <c r="N64" s="61"/>
    </row>
    <row r="65" spans="1:14" x14ac:dyDescent="0.3">
      <c r="A65" s="80"/>
      <c r="C65" s="56"/>
      <c r="D65" s="56"/>
      <c r="E65" s="56"/>
      <c r="F65" s="56"/>
      <c r="G65" s="56"/>
      <c r="H65" s="56"/>
      <c r="I65" s="56"/>
      <c r="K65" s="89"/>
      <c r="M65" s="61"/>
      <c r="N65" s="61"/>
    </row>
    <row r="66" spans="1:14" x14ac:dyDescent="0.3">
      <c r="A66" s="80"/>
      <c r="C66" s="56"/>
      <c r="D66" s="56"/>
      <c r="E66" s="56"/>
      <c r="F66" s="56"/>
      <c r="G66" s="56"/>
      <c r="H66" s="56"/>
      <c r="I66" s="56"/>
      <c r="K66" s="89"/>
      <c r="M66" s="61"/>
      <c r="N66" s="61"/>
    </row>
    <row r="67" spans="1:14" x14ac:dyDescent="0.3">
      <c r="A67" s="80"/>
      <c r="C67" s="56"/>
      <c r="D67" s="56"/>
      <c r="E67" s="56"/>
      <c r="F67" s="56"/>
      <c r="G67" s="56"/>
      <c r="H67" s="56"/>
      <c r="I67" s="56"/>
      <c r="K67" s="89"/>
      <c r="M67" s="61"/>
      <c r="N67" s="61"/>
    </row>
    <row r="68" spans="1:14" x14ac:dyDescent="0.3">
      <c r="A68" s="80"/>
      <c r="C68" s="56"/>
      <c r="D68" s="56"/>
      <c r="E68" s="56"/>
      <c r="F68" s="56"/>
      <c r="G68" s="56"/>
      <c r="H68" s="56"/>
      <c r="I68" s="56"/>
      <c r="K68" s="89"/>
      <c r="M68" s="61"/>
      <c r="N68" s="61"/>
    </row>
    <row r="69" spans="1:14" x14ac:dyDescent="0.3">
      <c r="A69" s="80"/>
      <c r="C69" s="56"/>
      <c r="D69" s="56"/>
      <c r="E69" s="56"/>
      <c r="F69" s="56"/>
      <c r="G69" s="56"/>
      <c r="H69" s="56"/>
      <c r="I69" s="56"/>
      <c r="K69" s="89"/>
      <c r="M69" s="61"/>
      <c r="N69" s="61"/>
    </row>
    <row r="70" spans="1:14" x14ac:dyDescent="0.3">
      <c r="A70" s="80"/>
      <c r="C70" s="56"/>
      <c r="D70" s="56"/>
      <c r="E70" s="56"/>
      <c r="F70" s="56"/>
      <c r="G70" s="56"/>
      <c r="H70" s="56"/>
      <c r="I70" s="56"/>
      <c r="K70" s="89"/>
      <c r="M70" s="61"/>
      <c r="N70" s="61"/>
    </row>
  </sheetData>
  <mergeCells count="3">
    <mergeCell ref="A1:A2"/>
    <mergeCell ref="K3:K4"/>
    <mergeCell ref="M3:N3"/>
  </mergeCells>
  <pageMargins left="0.7" right="0.7" top="0.75" bottom="0.75" header="0.3" footer="0.3"/>
  <pageSetup scale="67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O83"/>
  <sheetViews>
    <sheetView tabSelected="1" topLeftCell="A18" zoomScaleNormal="100" workbookViewId="0">
      <selection activeCell="K30" sqref="K30"/>
    </sheetView>
  </sheetViews>
  <sheetFormatPr defaultRowHeight="14.4" x14ac:dyDescent="0.3"/>
  <cols>
    <col min="1" max="1" width="5.21875" customWidth="1"/>
    <col min="2" max="2" width="29.21875" customWidth="1"/>
    <col min="3" max="3" width="15" customWidth="1"/>
    <col min="4" max="4" width="14.21875" customWidth="1"/>
    <col min="5" max="5" width="19.88671875" customWidth="1"/>
    <col min="6" max="6" width="8.109375" customWidth="1"/>
    <col min="7" max="7" width="5.21875" customWidth="1"/>
    <col min="8" max="8" width="28.77734375" customWidth="1"/>
    <col min="9" max="9" width="14" customWidth="1"/>
    <col min="10" max="10" width="15.21875" customWidth="1"/>
    <col min="11" max="11" width="19.109375" customWidth="1"/>
    <col min="12" max="12" width="8.33203125" customWidth="1"/>
    <col min="13" max="13" width="12.5546875" bestFit="1" customWidth="1"/>
    <col min="14" max="14" width="11.109375" bestFit="1" customWidth="1"/>
    <col min="15" max="15" width="10" customWidth="1"/>
  </cols>
  <sheetData>
    <row r="1" spans="1:15" x14ac:dyDescent="0.3">
      <c r="B1" s="189" t="s">
        <v>0</v>
      </c>
      <c r="C1" s="189"/>
      <c r="D1" s="189"/>
      <c r="E1" s="189"/>
      <c r="F1" s="62"/>
      <c r="G1" s="63"/>
      <c r="H1" s="189" t="s">
        <v>0</v>
      </c>
      <c r="I1" s="189"/>
      <c r="J1" s="189"/>
      <c r="K1" s="189"/>
    </row>
    <row r="2" spans="1:15" x14ac:dyDescent="0.3">
      <c r="B2" s="189" t="s">
        <v>1</v>
      </c>
      <c r="C2" s="189"/>
      <c r="D2" s="189"/>
      <c r="E2" s="189"/>
      <c r="F2" s="62"/>
      <c r="G2" s="63"/>
      <c r="H2" s="189" t="s">
        <v>1</v>
      </c>
      <c r="I2" s="189"/>
      <c r="J2" s="189"/>
      <c r="K2" s="189"/>
    </row>
    <row r="3" spans="1:15" x14ac:dyDescent="0.3">
      <c r="B3" s="189" t="s">
        <v>206</v>
      </c>
      <c r="C3" s="189"/>
      <c r="D3" s="189"/>
      <c r="E3" s="189"/>
      <c r="F3" s="62"/>
      <c r="G3" s="63"/>
      <c r="H3" s="189" t="str">
        <f>B3</f>
        <v>Effective November 1, 2018 - October 31, 2019</v>
      </c>
      <c r="I3" s="189"/>
      <c r="J3" s="189"/>
      <c r="K3" s="189"/>
    </row>
    <row r="4" spans="1:15" x14ac:dyDescent="0.3">
      <c r="B4" s="35"/>
      <c r="C4" s="35"/>
      <c r="D4" s="35"/>
      <c r="E4" s="35"/>
      <c r="F4" s="35"/>
      <c r="G4" s="35"/>
      <c r="H4" s="35"/>
      <c r="I4" s="35"/>
      <c r="J4" s="35"/>
      <c r="K4" s="35"/>
    </row>
    <row r="5" spans="1:15" ht="18" x14ac:dyDescent="0.35">
      <c r="B5" s="188" t="s">
        <v>5</v>
      </c>
      <c r="C5" s="188"/>
      <c r="D5" s="188"/>
      <c r="E5" s="188"/>
      <c r="F5" s="41"/>
      <c r="G5" s="35"/>
      <c r="H5" s="188" t="s">
        <v>16</v>
      </c>
      <c r="I5" s="188"/>
      <c r="J5" s="188"/>
      <c r="K5" s="188"/>
    </row>
    <row r="6" spans="1:15" ht="30" customHeight="1" x14ac:dyDescent="0.3">
      <c r="A6" s="103" t="s">
        <v>114</v>
      </c>
      <c r="B6" s="32" t="s">
        <v>3</v>
      </c>
      <c r="C6" s="32" t="s">
        <v>7</v>
      </c>
      <c r="D6" s="32" t="s">
        <v>8</v>
      </c>
      <c r="E6" s="32" t="s">
        <v>131</v>
      </c>
      <c r="F6" s="32"/>
      <c r="G6" s="103" t="s">
        <v>114</v>
      </c>
      <c r="H6" s="32" t="s">
        <v>3</v>
      </c>
      <c r="I6" s="32" t="s">
        <v>7</v>
      </c>
      <c r="J6" s="32" t="s">
        <v>8</v>
      </c>
      <c r="K6" s="87" t="s">
        <v>131</v>
      </c>
    </row>
    <row r="7" spans="1:15" x14ac:dyDescent="0.3">
      <c r="A7" s="105">
        <v>1</v>
      </c>
      <c r="B7" s="32"/>
      <c r="C7" s="32">
        <f>ROUND(C8/E22,5)</f>
        <v>-2.5559999999999999E-2</v>
      </c>
      <c r="D7" s="33">
        <v>4.6899999999999997E-2</v>
      </c>
      <c r="E7" s="32"/>
      <c r="F7" s="32"/>
      <c r="G7" s="105">
        <v>1</v>
      </c>
      <c r="H7" s="32"/>
      <c r="I7" s="32">
        <f>ROUND(I8/K22,5)</f>
        <v>6.4799999999999996E-3</v>
      </c>
      <c r="J7" s="33">
        <f>D7</f>
        <v>4.6899999999999997E-2</v>
      </c>
      <c r="K7" s="32"/>
      <c r="O7" s="79"/>
    </row>
    <row r="8" spans="1:15" x14ac:dyDescent="0.3">
      <c r="A8" s="105">
        <v>2</v>
      </c>
      <c r="B8" s="64">
        <v>43374</v>
      </c>
      <c r="C8" s="34">
        <f>C58+C59</f>
        <v>-3234291.6139362417</v>
      </c>
      <c r="D8" s="34"/>
      <c r="E8" s="35"/>
      <c r="F8" s="35"/>
      <c r="G8" s="105">
        <v>2</v>
      </c>
      <c r="H8" s="64">
        <f>B8</f>
        <v>43374</v>
      </c>
      <c r="I8" s="34">
        <f>I58+I59</f>
        <v>382089.39138228714</v>
      </c>
      <c r="J8" s="34"/>
      <c r="K8" s="35"/>
    </row>
    <row r="9" spans="1:15" x14ac:dyDescent="0.3">
      <c r="A9" s="105">
        <v>3</v>
      </c>
      <c r="B9" s="64">
        <f>B8+31</f>
        <v>43405</v>
      </c>
      <c r="C9" s="107">
        <f>C8+D9-$C$7*E9</f>
        <v>-2852854.3167059314</v>
      </c>
      <c r="D9" s="107">
        <f>(C8-$C$7*E9/2)*($D$7/12)</f>
        <v>-11872.097615373203</v>
      </c>
      <c r="E9" s="38">
        <f>'wp6 14 18 Forecast Usage by Sch'!M9</f>
        <v>15387691.504134728</v>
      </c>
      <c r="F9" s="38"/>
      <c r="G9" s="105">
        <v>3</v>
      </c>
      <c r="H9" s="64">
        <f t="shared" ref="H9:H20" si="0">B9</f>
        <v>43405</v>
      </c>
      <c r="I9" s="111">
        <f>I8+J9-K9*$I$7</f>
        <v>334093.43365797127</v>
      </c>
      <c r="J9" s="111">
        <f>(I8-$I$7*K9/2)*$J$7/12</f>
        <v>1396.8110024322521</v>
      </c>
      <c r="K9" s="38">
        <f>'wp6 14 18 Forecast Usage by Sch'!N9</f>
        <v>7622340.8528932277</v>
      </c>
      <c r="M9" s="56"/>
      <c r="N9" s="56"/>
      <c r="O9" s="56"/>
    </row>
    <row r="10" spans="1:15" x14ac:dyDescent="0.3">
      <c r="A10" s="105">
        <v>4</v>
      </c>
      <c r="B10" s="64">
        <f t="shared" ref="B10:B20" si="1">B9+31</f>
        <v>43436</v>
      </c>
      <c r="C10" s="107">
        <f t="shared" ref="C10:C20" si="2">C9+D10-$C$7*E10</f>
        <v>-2275551.7996579139</v>
      </c>
      <c r="D10" s="107">
        <f t="shared" ref="D10:D20" si="3">(C9-$C$7*E10/2)*($D$7/12)</f>
        <v>-10002.214291965465</v>
      </c>
      <c r="E10" s="38">
        <f>'wp6 14 18 Forecast Usage by Sch'!M10</f>
        <v>22977493.401407786</v>
      </c>
      <c r="F10" s="38"/>
      <c r="G10" s="105">
        <v>4</v>
      </c>
      <c r="H10" s="64">
        <f t="shared" si="0"/>
        <v>43436</v>
      </c>
      <c r="I10" s="111">
        <f t="shared" ref="I10:I20" si="4">I9+J10-K10*$I$7</f>
        <v>275588.8136119463</v>
      </c>
      <c r="J10" s="111">
        <f t="shared" ref="J10:J20" si="5">(I9-$I$7*K10/2)*$J$7/12</f>
        <v>1189.0970310917053</v>
      </c>
      <c r="K10" s="38">
        <f>'wp6 14 18 Forecast Usage by Sch'!N10</f>
        <v>9211993.3760982547</v>
      </c>
      <c r="M10" s="56"/>
      <c r="N10" s="56"/>
      <c r="O10" s="56"/>
    </row>
    <row r="11" spans="1:15" x14ac:dyDescent="0.3">
      <c r="A11" s="105">
        <v>5</v>
      </c>
      <c r="B11" s="64">
        <f t="shared" si="1"/>
        <v>43467</v>
      </c>
      <c r="C11" s="107">
        <f t="shared" si="2"/>
        <v>-1706367.5956875454</v>
      </c>
      <c r="D11" s="107">
        <f t="shared" si="3"/>
        <v>-7766.1577850659351</v>
      </c>
      <c r="E11" s="38">
        <f>'wp6 14 18 Forecast Usage by Sch'!M11</f>
        <v>22572392.86993093</v>
      </c>
      <c r="F11" s="38"/>
      <c r="G11" s="105">
        <v>5</v>
      </c>
      <c r="H11" s="64">
        <f t="shared" si="0"/>
        <v>43467</v>
      </c>
      <c r="I11" s="111">
        <f t="shared" si="4"/>
        <v>215279.68116415822</v>
      </c>
      <c r="J11" s="111">
        <f t="shared" si="5"/>
        <v>957.36799358750193</v>
      </c>
      <c r="K11" s="38">
        <f>'wp6 14 18 Forecast Usage by Sch'!N11</f>
        <v>9454706.8582369741</v>
      </c>
      <c r="M11" s="56"/>
      <c r="N11" s="56"/>
      <c r="O11" s="56"/>
    </row>
    <row r="12" spans="1:15" x14ac:dyDescent="0.3">
      <c r="A12" s="105">
        <v>6</v>
      </c>
      <c r="B12" s="64">
        <f t="shared" si="1"/>
        <v>43498</v>
      </c>
      <c r="C12" s="107">
        <f t="shared" si="2"/>
        <v>-1250908.6067171802</v>
      </c>
      <c r="D12" s="107">
        <f t="shared" si="3"/>
        <v>-5767.7394546815449</v>
      </c>
      <c r="E12" s="38">
        <f>'wp6 14 18 Forecast Usage by Sch'!M12</f>
        <v>18044864.179383673</v>
      </c>
      <c r="F12" s="38"/>
      <c r="G12" s="105">
        <v>6</v>
      </c>
      <c r="H12" s="64">
        <f t="shared" si="0"/>
        <v>43498</v>
      </c>
      <c r="I12" s="111">
        <f t="shared" si="4"/>
        <v>170221.19288894086</v>
      </c>
      <c r="J12" s="111">
        <f t="shared" si="5"/>
        <v>751.86369108244071</v>
      </c>
      <c r="K12" s="38">
        <f>'wp6 14 18 Forecast Usage by Sch'!N12</f>
        <v>7069498.7602314493</v>
      </c>
      <c r="M12" s="56"/>
      <c r="N12" s="56"/>
      <c r="O12" s="56"/>
    </row>
    <row r="13" spans="1:15" x14ac:dyDescent="0.3">
      <c r="A13" s="105">
        <v>7</v>
      </c>
      <c r="B13" s="64">
        <f t="shared" si="1"/>
        <v>43529</v>
      </c>
      <c r="C13" s="107">
        <f t="shared" si="2"/>
        <v>-872421.27838491183</v>
      </c>
      <c r="D13" s="107">
        <f t="shared" si="3"/>
        <v>-4141.2477954034875</v>
      </c>
      <c r="E13" s="38">
        <f>'wp6 14 18 Forecast Usage by Sch'!M13</f>
        <v>14969819.097326754</v>
      </c>
      <c r="F13" s="38"/>
      <c r="G13" s="105">
        <v>7</v>
      </c>
      <c r="H13" s="64">
        <f t="shared" si="0"/>
        <v>43529</v>
      </c>
      <c r="I13" s="111">
        <f t="shared" si="4"/>
        <v>129245.05379240058</v>
      </c>
      <c r="J13" s="111">
        <f t="shared" si="5"/>
        <v>584.06559553850661</v>
      </c>
      <c r="K13" s="38">
        <f>'wp6 14 18 Forecast Usage by Sch'!N13</f>
        <v>6413611.8351973426</v>
      </c>
      <c r="M13" s="56"/>
      <c r="N13" s="56"/>
      <c r="O13" s="56"/>
    </row>
    <row r="14" spans="1:15" x14ac:dyDescent="0.3">
      <c r="A14" s="105">
        <v>8</v>
      </c>
      <c r="B14" s="64">
        <f t="shared" si="1"/>
        <v>43560</v>
      </c>
      <c r="C14" s="107">
        <f t="shared" si="2"/>
        <v>-633784.4499883781</v>
      </c>
      <c r="D14" s="107">
        <f t="shared" si="3"/>
        <v>-2937.6363964048292</v>
      </c>
      <c r="E14" s="38">
        <f>'wp6 14 18 Forecast Usage by Sch'!M14</f>
        <v>9451270.1405688021</v>
      </c>
      <c r="F14" s="38"/>
      <c r="G14" s="105">
        <v>8</v>
      </c>
      <c r="H14" s="64">
        <f t="shared" si="0"/>
        <v>43560</v>
      </c>
      <c r="I14" s="111">
        <f t="shared" si="4"/>
        <v>103259.65256880634</v>
      </c>
      <c r="J14" s="111">
        <f t="shared" si="5"/>
        <v>453.46679731443987</v>
      </c>
      <c r="K14" s="38">
        <f>'wp6 14 18 Forecast Usage by Sch'!N14</f>
        <v>4080072.2254488692</v>
      </c>
      <c r="M14" s="56"/>
      <c r="N14" s="56"/>
      <c r="O14" s="56"/>
    </row>
    <row r="15" spans="1:15" x14ac:dyDescent="0.3">
      <c r="A15" s="105">
        <v>9</v>
      </c>
      <c r="B15" s="64">
        <f t="shared" si="1"/>
        <v>43591</v>
      </c>
      <c r="C15" s="107">
        <f t="shared" si="2"/>
        <v>-507430.1902957795</v>
      </c>
      <c r="D15" s="107">
        <f t="shared" si="3"/>
        <v>-2225.7740760483462</v>
      </c>
      <c r="E15" s="38">
        <f>'wp6 14 18 Forecast Usage by Sch'!M15</f>
        <v>5030517.7530769575</v>
      </c>
      <c r="F15" s="38"/>
      <c r="G15" s="105">
        <v>9</v>
      </c>
      <c r="H15" s="64">
        <f t="shared" si="0"/>
        <v>43591</v>
      </c>
      <c r="I15" s="111">
        <f t="shared" si="4"/>
        <v>87233.215907677892</v>
      </c>
      <c r="J15" s="111">
        <f t="shared" si="5"/>
        <v>371.52878464779701</v>
      </c>
      <c r="K15" s="38">
        <f>'wp6 14 18 Forecast Usage by Sch'!N15</f>
        <v>2530550.2231136202</v>
      </c>
      <c r="M15" s="56"/>
      <c r="N15" s="56"/>
      <c r="O15" s="56"/>
    </row>
    <row r="16" spans="1:15" x14ac:dyDescent="0.3">
      <c r="A16" s="105">
        <v>10</v>
      </c>
      <c r="B16" s="64">
        <f t="shared" si="1"/>
        <v>43622</v>
      </c>
      <c r="C16" s="107">
        <f t="shared" si="2"/>
        <v>-436519.36765292072</v>
      </c>
      <c r="D16" s="107">
        <f t="shared" si="3"/>
        <v>-1841.0370678879206</v>
      </c>
      <c r="E16" s="38">
        <f>'wp6 14 18 Forecast Usage by Sch'!M16</f>
        <v>2846316.8900918099</v>
      </c>
      <c r="F16" s="38"/>
      <c r="G16" s="105">
        <v>10</v>
      </c>
      <c r="H16" s="64">
        <f t="shared" si="0"/>
        <v>43622</v>
      </c>
      <c r="I16" s="111">
        <f t="shared" si="4"/>
        <v>76157.490139612535</v>
      </c>
      <c r="J16" s="111">
        <f t="shared" si="5"/>
        <v>318.66993723173965</v>
      </c>
      <c r="K16" s="38">
        <f>'wp6 14 18 Forecast Usage by Sch'!N16</f>
        <v>1758394.3989656011</v>
      </c>
      <c r="M16" s="56"/>
      <c r="N16" s="56"/>
      <c r="O16" s="56"/>
    </row>
    <row r="17" spans="1:15" x14ac:dyDescent="0.3">
      <c r="A17" s="105">
        <v>11</v>
      </c>
      <c r="B17" s="64">
        <f t="shared" si="1"/>
        <v>43653</v>
      </c>
      <c r="C17" s="107">
        <f t="shared" si="2"/>
        <v>-382282.93119806808</v>
      </c>
      <c r="D17" s="107">
        <f t="shared" si="3"/>
        <v>-1596.9554419119045</v>
      </c>
      <c r="E17" s="38">
        <f>'wp6 14 18 Forecast Usage by Sch'!M17</f>
        <v>2184405.0037857783</v>
      </c>
      <c r="F17" s="38"/>
      <c r="G17" s="105">
        <v>11</v>
      </c>
      <c r="H17" s="64">
        <f t="shared" si="0"/>
        <v>43653</v>
      </c>
      <c r="I17" s="111">
        <f t="shared" si="4"/>
        <v>64194.687204055401</v>
      </c>
      <c r="J17" s="111">
        <f t="shared" si="5"/>
        <v>273.73661958165195</v>
      </c>
      <c r="K17" s="38">
        <f>'wp6 14 18 Forecast Usage by Sch'!N17</f>
        <v>1888354.8696201844</v>
      </c>
      <c r="M17" s="56"/>
      <c r="N17" s="56"/>
      <c r="O17" s="56"/>
    </row>
    <row r="18" spans="1:15" x14ac:dyDescent="0.3">
      <c r="A18" s="105">
        <v>12</v>
      </c>
      <c r="B18" s="64">
        <f t="shared" si="1"/>
        <v>43684</v>
      </c>
      <c r="C18" s="107">
        <f t="shared" si="2"/>
        <v>-320273.62373998592</v>
      </c>
      <c r="D18" s="107">
        <f t="shared" si="3"/>
        <v>-1370.2349336752234</v>
      </c>
      <c r="E18" s="38">
        <f>'wp6 14 18 Forecast Usage by Sch'!M18</f>
        <v>2479637.8087541997</v>
      </c>
      <c r="F18" s="38"/>
      <c r="G18" s="105">
        <v>12</v>
      </c>
      <c r="H18" s="64">
        <f t="shared" si="0"/>
        <v>43684</v>
      </c>
      <c r="I18" s="111">
        <f t="shared" si="4"/>
        <v>53942.740094337722</v>
      </c>
      <c r="J18" s="111">
        <f t="shared" si="5"/>
        <v>230.40996304283033</v>
      </c>
      <c r="K18" s="38">
        <f>'wp6 14 18 Forecast Usage by Sch'!N18</f>
        <v>1617647.6964136595</v>
      </c>
      <c r="M18" s="56"/>
      <c r="N18" s="56"/>
      <c r="O18" s="56"/>
    </row>
    <row r="19" spans="1:15" x14ac:dyDescent="0.3">
      <c r="A19" s="105">
        <v>13</v>
      </c>
      <c r="B19" s="64">
        <f t="shared" si="1"/>
        <v>43715</v>
      </c>
      <c r="C19" s="107">
        <f t="shared" si="2"/>
        <v>-256790.06605978179</v>
      </c>
      <c r="D19" s="107">
        <f t="shared" si="3"/>
        <v>-1125.479253109927</v>
      </c>
      <c r="E19" s="38">
        <f>'wp6 14 18 Forecast Usage by Sch'!M19</f>
        <v>2527740.0991124446</v>
      </c>
      <c r="F19" s="38"/>
      <c r="G19" s="105">
        <v>13</v>
      </c>
      <c r="H19" s="64">
        <f t="shared" si="0"/>
        <v>43715</v>
      </c>
      <c r="I19" s="111">
        <f t="shared" si="4"/>
        <v>37958.400328136209</v>
      </c>
      <c r="J19" s="111">
        <f t="shared" si="5"/>
        <v>179.23988064216292</v>
      </c>
      <c r="K19" s="38">
        <f>'wp6 14 18 Forecast Usage by Sch'!N19</f>
        <v>2494379.5751301972</v>
      </c>
      <c r="M19" s="56"/>
      <c r="N19" s="56"/>
      <c r="O19" s="56"/>
    </row>
    <row r="20" spans="1:15" x14ac:dyDescent="0.3">
      <c r="A20" s="105">
        <v>14</v>
      </c>
      <c r="B20" s="64">
        <f t="shared" si="1"/>
        <v>43746</v>
      </c>
      <c r="C20" s="107">
        <f t="shared" si="2"/>
        <v>-51460.773807092395</v>
      </c>
      <c r="D20" s="107">
        <f t="shared" si="3"/>
        <v>-601.19867383140434</v>
      </c>
      <c r="E20" s="38">
        <f>'wp6 14 18 Forecast Usage by Sch'!M20</f>
        <v>8056748.4713036316</v>
      </c>
      <c r="F20" s="38"/>
      <c r="G20" s="105">
        <v>14</v>
      </c>
      <c r="H20" s="64">
        <f t="shared" si="0"/>
        <v>43746</v>
      </c>
      <c r="I20" s="111">
        <f t="shared" si="4"/>
        <v>6535.3671749875466</v>
      </c>
      <c r="J20" s="111">
        <f t="shared" si="5"/>
        <v>86.778657369411619</v>
      </c>
      <c r="K20" s="38">
        <f>'wp6 14 18 Forecast Usage by Sch'!N20</f>
        <v>4862625.2794009373</v>
      </c>
      <c r="M20" s="56"/>
      <c r="N20" s="56"/>
      <c r="O20" s="56"/>
    </row>
    <row r="21" spans="1:15" x14ac:dyDescent="0.3">
      <c r="B21" s="35"/>
      <c r="C21" s="35"/>
      <c r="D21" s="35"/>
      <c r="E21" s="35"/>
      <c r="F21" s="35"/>
      <c r="H21" s="35"/>
      <c r="I21" s="35"/>
      <c r="J21" s="35"/>
      <c r="K21" s="35"/>
    </row>
    <row r="22" spans="1:15" x14ac:dyDescent="0.3">
      <c r="A22" s="105">
        <v>15</v>
      </c>
      <c r="B22" s="35" t="s">
        <v>6</v>
      </c>
      <c r="C22" s="35"/>
      <c r="D22" s="34">
        <f>SUM(D9:D21)</f>
        <v>-51247.772785359179</v>
      </c>
      <c r="E22" s="43">
        <f>SUM(E9:E21)</f>
        <v>126528897.21887749</v>
      </c>
      <c r="F22" s="43"/>
      <c r="G22" s="105">
        <v>15</v>
      </c>
      <c r="H22" s="35" t="s">
        <v>6</v>
      </c>
      <c r="I22" s="35"/>
      <c r="J22" s="34">
        <f>SUM(J9:J21)</f>
        <v>6793.0359535624393</v>
      </c>
      <c r="K22" s="43">
        <f>SUM(K9:K21)</f>
        <v>59004175.950750314</v>
      </c>
    </row>
    <row r="23" spans="1:15" ht="10.199999999999999" customHeight="1" x14ac:dyDescent="0.3">
      <c r="B23" s="35"/>
      <c r="C23" s="35"/>
      <c r="D23" s="34"/>
      <c r="E23" s="43"/>
      <c r="F23" s="43"/>
      <c r="H23" s="35"/>
      <c r="I23" s="35"/>
      <c r="J23" s="34"/>
      <c r="K23" s="43"/>
    </row>
    <row r="24" spans="1:15" ht="27" customHeight="1" x14ac:dyDescent="0.3">
      <c r="A24" s="105">
        <v>16</v>
      </c>
      <c r="B24" s="186" t="s">
        <v>10</v>
      </c>
      <c r="C24" s="186"/>
      <c r="D24" s="36">
        <f>ROUND(D22/E22,5)</f>
        <v>-4.0999999999999999E-4</v>
      </c>
      <c r="E24" s="43"/>
      <c r="F24" s="43"/>
      <c r="G24" s="105">
        <v>16</v>
      </c>
      <c r="H24" s="186" t="s">
        <v>10</v>
      </c>
      <c r="I24" s="186"/>
      <c r="J24" s="36">
        <f>ROUND(J22/K22,5)</f>
        <v>1.2E-4</v>
      </c>
      <c r="K24" s="43"/>
    </row>
    <row r="25" spans="1:15" ht="28.2" customHeight="1" x14ac:dyDescent="0.3">
      <c r="A25" s="105">
        <v>17</v>
      </c>
      <c r="B25" s="186" t="s">
        <v>11</v>
      </c>
      <c r="C25" s="186"/>
      <c r="D25" s="36">
        <f>C7</f>
        <v>-2.5559999999999999E-2</v>
      </c>
      <c r="E25" s="43"/>
      <c r="F25" s="43"/>
      <c r="G25" s="105">
        <v>17</v>
      </c>
      <c r="H25" s="186" t="s">
        <v>11</v>
      </c>
      <c r="I25" s="186"/>
      <c r="J25" s="36">
        <f>I7</f>
        <v>6.4799999999999996E-3</v>
      </c>
      <c r="K25" s="43"/>
    </row>
    <row r="26" spans="1:15" ht="28.8" customHeight="1" x14ac:dyDescent="0.3">
      <c r="A26" s="105">
        <v>18</v>
      </c>
      <c r="B26" s="186" t="s">
        <v>12</v>
      </c>
      <c r="C26" s="186"/>
      <c r="D26" s="36">
        <f>D24+D25</f>
        <v>-2.597E-2</v>
      </c>
      <c r="E26" s="44"/>
      <c r="F26" s="44"/>
      <c r="G26" s="105">
        <v>18</v>
      </c>
      <c r="H26" s="186" t="s">
        <v>12</v>
      </c>
      <c r="I26" s="186"/>
      <c r="J26" s="36">
        <f>J24+J25</f>
        <v>6.6E-3</v>
      </c>
      <c r="K26" s="44"/>
    </row>
    <row r="27" spans="1:15" ht="28.8" customHeight="1" x14ac:dyDescent="0.3">
      <c r="A27" s="105">
        <v>19</v>
      </c>
      <c r="B27" s="187" t="s">
        <v>13</v>
      </c>
      <c r="C27" s="187"/>
      <c r="D27" s="37">
        <f>'Conversion Factors'!$E$114</f>
        <v>1.0474920000000001</v>
      </c>
      <c r="E27" s="43"/>
      <c r="F27" s="43"/>
      <c r="G27" s="105">
        <v>19</v>
      </c>
      <c r="H27" s="187" t="s">
        <v>13</v>
      </c>
      <c r="I27" s="187"/>
      <c r="J27" s="37">
        <f>D27</f>
        <v>1.0474920000000001</v>
      </c>
      <c r="K27" s="43"/>
    </row>
    <row r="28" spans="1:15" ht="27" customHeight="1" x14ac:dyDescent="0.3">
      <c r="A28" s="105">
        <v>20</v>
      </c>
      <c r="B28" s="35" t="s">
        <v>89</v>
      </c>
      <c r="C28" s="35"/>
      <c r="D28" s="36">
        <f>ROUND(D26*D27,5)</f>
        <v>-2.7199999999999998E-2</v>
      </c>
      <c r="E28" s="43"/>
      <c r="F28" s="43"/>
      <c r="G28" s="105">
        <v>20</v>
      </c>
      <c r="H28" s="35" t="s">
        <v>89</v>
      </c>
      <c r="I28" s="35"/>
      <c r="J28" s="36">
        <f>ROUND(J26*J27,5)</f>
        <v>6.9100000000000003E-3</v>
      </c>
      <c r="K28" s="43"/>
    </row>
    <row r="29" spans="1:15" ht="27" customHeight="1" x14ac:dyDescent="0.3">
      <c r="A29" s="105">
        <v>21</v>
      </c>
      <c r="B29" s="35" t="s">
        <v>77</v>
      </c>
      <c r="C29" s="35"/>
      <c r="D29" s="36">
        <f>'Earnings Test and 3% Test'!E56</f>
        <v>0</v>
      </c>
      <c r="E29" s="43"/>
      <c r="F29" s="43"/>
      <c r="G29" s="105">
        <v>21</v>
      </c>
      <c r="H29" s="35" t="s">
        <v>77</v>
      </c>
      <c r="I29" s="35"/>
      <c r="J29" s="36">
        <f>'Earnings Test and 3% Test'!F56</f>
        <v>0</v>
      </c>
      <c r="K29" s="43"/>
    </row>
    <row r="30" spans="1:15" ht="27" customHeight="1" x14ac:dyDescent="0.3">
      <c r="A30" s="105">
        <v>22</v>
      </c>
      <c r="B30" s="35" t="s">
        <v>78</v>
      </c>
      <c r="C30" s="35"/>
      <c r="D30" s="36">
        <f>D28+D29</f>
        <v>-2.7199999999999998E-2</v>
      </c>
      <c r="E30" s="43" t="str">
        <f>IF(D30&lt;0,"Rebate Rate","Surcharge Rate")</f>
        <v>Rebate Rate</v>
      </c>
      <c r="F30" s="43"/>
      <c r="G30" s="105">
        <v>22</v>
      </c>
      <c r="H30" s="35" t="s">
        <v>78</v>
      </c>
      <c r="I30" s="35"/>
      <c r="J30" s="36">
        <f>J28+J29</f>
        <v>6.9100000000000003E-3</v>
      </c>
      <c r="K30" s="43" t="str">
        <f>IF(J30&lt;0,"Rebate Rate","Surcharge Rate")</f>
        <v>Surcharge Rate</v>
      </c>
    </row>
    <row r="31" spans="1:15" ht="27" customHeight="1" x14ac:dyDescent="0.3">
      <c r="A31" s="105">
        <v>23</v>
      </c>
      <c r="B31" s="35"/>
      <c r="C31" s="39" t="s">
        <v>85</v>
      </c>
      <c r="D31" s="36">
        <f>ROUND(D30*'Conversion Factors'!$E$108,5)</f>
        <v>-2.597E-2</v>
      </c>
      <c r="E31" s="43" t="s">
        <v>14</v>
      </c>
      <c r="F31" s="43"/>
      <c r="G31" s="105">
        <v>23</v>
      </c>
      <c r="H31" s="35"/>
      <c r="I31" s="39" t="s">
        <v>85</v>
      </c>
      <c r="J31" s="36">
        <f>ROUND(J30*'Conversion Factors'!$E$108,5)</f>
        <v>6.6E-3</v>
      </c>
      <c r="K31" s="43" t="s">
        <v>14</v>
      </c>
    </row>
    <row r="32" spans="1:15" ht="27" customHeight="1" x14ac:dyDescent="0.3">
      <c r="A32" s="105">
        <v>24</v>
      </c>
      <c r="B32" s="35" t="s">
        <v>88</v>
      </c>
      <c r="C32" s="35"/>
      <c r="D32" s="107">
        <f>IF(D29=0,0,C71)</f>
        <v>0</v>
      </c>
      <c r="E32" s="43"/>
      <c r="F32" s="43"/>
      <c r="G32" s="105">
        <v>24</v>
      </c>
      <c r="H32" s="35" t="s">
        <v>79</v>
      </c>
      <c r="I32" s="35"/>
      <c r="J32" s="107">
        <f>IF(J29=0,0,I71)</f>
        <v>0</v>
      </c>
      <c r="K32" s="43"/>
    </row>
    <row r="33" spans="1:12" ht="14.55" customHeight="1" x14ac:dyDescent="0.3">
      <c r="B33" s="35"/>
      <c r="C33" s="35"/>
      <c r="D33" s="34"/>
      <c r="E33" s="43"/>
      <c r="F33" s="43"/>
      <c r="H33" s="35"/>
      <c r="I33" s="35"/>
      <c r="J33" s="34"/>
      <c r="K33" s="43"/>
    </row>
    <row r="34" spans="1:12" ht="14.55" customHeight="1" x14ac:dyDescent="0.3">
      <c r="A34" s="65" t="s">
        <v>80</v>
      </c>
      <c r="B34" s="65" t="s">
        <v>80</v>
      </c>
      <c r="C34" s="35"/>
      <c r="D34" s="34"/>
      <c r="E34" s="43"/>
      <c r="F34" s="43"/>
      <c r="G34" s="65" t="s">
        <v>80</v>
      </c>
      <c r="H34" s="65" t="s">
        <v>80</v>
      </c>
      <c r="I34" s="35"/>
      <c r="J34" s="34"/>
      <c r="K34" s="43"/>
    </row>
    <row r="35" spans="1:12" ht="49.2" customHeight="1" x14ac:dyDescent="0.3">
      <c r="A35" s="102" t="s">
        <v>122</v>
      </c>
      <c r="B35" s="185" t="str">
        <f>"Deferral balance at the end of the month, Rate of "&amp;TEXT(D25,"$0.00000")&amp;" to recover the October 2018 balance of "&amp;TEXT(C8,"$000,000")&amp;" over 12 months.  See page 2 and 5 of Attachment A for October 2018 balance calculation."</f>
        <v>Deferral balance at the end of the month, Rate of -$0.02556 to recover the October 2018 balance of -$3,234,292 over 12 months.  See page 2 and 5 of Attachment A for October 2018 balance calculation.</v>
      </c>
      <c r="C35" s="185"/>
      <c r="D35" s="185"/>
      <c r="E35" s="185"/>
      <c r="F35" s="43"/>
      <c r="G35" s="102" t="s">
        <v>122</v>
      </c>
      <c r="H35" s="185" t="str">
        <f>"Deferral balance at the end of the month, Rate of "&amp;TEXT(J25,"$0.00000")&amp;" to recover the October 2018 balance of "&amp;TEXT(I8,"$000,000")&amp;" over 12 months.  See page 4 and 5 of Attachment A for October 2018 balance calculation."</f>
        <v>Deferral balance at the end of the month, Rate of $0.00648 to recover the October 2018 balance of $382,089 over 12 months.  See page 4 and 5 of Attachment A for October 2018 balance calculation.</v>
      </c>
      <c r="I35" s="185"/>
      <c r="J35" s="185"/>
      <c r="K35" s="185"/>
    </row>
    <row r="36" spans="1:12" ht="32.4" customHeight="1" x14ac:dyDescent="0.3">
      <c r="A36" s="102" t="s">
        <v>123</v>
      </c>
      <c r="B36" s="185" t="s">
        <v>124</v>
      </c>
      <c r="C36" s="185"/>
      <c r="D36" s="185"/>
      <c r="E36" s="185"/>
      <c r="F36" s="43"/>
      <c r="G36" s="102" t="s">
        <v>123</v>
      </c>
      <c r="H36" s="185" t="s">
        <v>124</v>
      </c>
      <c r="I36" s="185"/>
      <c r="J36" s="185"/>
      <c r="K36" s="185"/>
    </row>
    <row r="37" spans="1:12" ht="15.6" customHeight="1" x14ac:dyDescent="0.3">
      <c r="B37" s="69" t="s">
        <v>86</v>
      </c>
      <c r="C37" s="104"/>
      <c r="D37" s="104"/>
      <c r="E37" s="104"/>
      <c r="F37" s="43"/>
      <c r="H37" s="69" t="s">
        <v>86</v>
      </c>
      <c r="I37" s="104"/>
      <c r="J37" s="104"/>
      <c r="K37" s="104"/>
    </row>
    <row r="38" spans="1:12" ht="18" customHeight="1" x14ac:dyDescent="0.3">
      <c r="A38" s="102" t="s">
        <v>125</v>
      </c>
      <c r="B38" s="182" t="s">
        <v>210</v>
      </c>
      <c r="C38" s="182"/>
      <c r="D38" s="182"/>
      <c r="E38" s="182"/>
      <c r="F38" s="43"/>
      <c r="G38" s="102" t="s">
        <v>125</v>
      </c>
      <c r="H38" s="182" t="s">
        <v>210</v>
      </c>
      <c r="I38" s="182"/>
      <c r="J38" s="182"/>
      <c r="K38" s="182"/>
    </row>
    <row r="39" spans="1:12" ht="18" customHeight="1" x14ac:dyDescent="0.3">
      <c r="A39" s="102" t="s">
        <v>126</v>
      </c>
      <c r="B39" s="182" t="s">
        <v>146</v>
      </c>
      <c r="C39" s="182"/>
      <c r="D39" s="182"/>
      <c r="E39" s="182"/>
      <c r="F39" s="43"/>
      <c r="G39" s="102" t="s">
        <v>126</v>
      </c>
      <c r="H39" s="182" t="s">
        <v>146</v>
      </c>
      <c r="I39" s="182"/>
      <c r="J39" s="182"/>
      <c r="K39" s="182"/>
    </row>
    <row r="40" spans="1:12" ht="18" customHeight="1" x14ac:dyDescent="0.3">
      <c r="A40" s="102" t="s">
        <v>127</v>
      </c>
      <c r="B40" s="182" t="s">
        <v>130</v>
      </c>
      <c r="C40" s="182"/>
      <c r="D40" s="182"/>
      <c r="E40" s="182"/>
      <c r="F40" s="43"/>
      <c r="G40" s="102" t="s">
        <v>127</v>
      </c>
      <c r="H40" s="182" t="s">
        <v>139</v>
      </c>
      <c r="I40" s="182"/>
      <c r="J40" s="182"/>
      <c r="K40" s="182"/>
    </row>
    <row r="41" spans="1:12" x14ac:dyDescent="0.3">
      <c r="B41" s="35"/>
      <c r="C41" s="35"/>
      <c r="D41" s="34"/>
      <c r="E41" s="43"/>
      <c r="F41" s="43"/>
      <c r="H41" s="35"/>
      <c r="I41" s="35"/>
      <c r="J41" s="34"/>
      <c r="K41" s="43"/>
    </row>
    <row r="42" spans="1:12" ht="27.6" customHeight="1" x14ac:dyDescent="0.35">
      <c r="B42" s="183" t="str">
        <f>B5</f>
        <v>Residential Natural Gas</v>
      </c>
      <c r="C42" s="183"/>
      <c r="D42" s="183"/>
      <c r="E42" s="183"/>
      <c r="F42" s="32"/>
      <c r="H42" s="183" t="str">
        <f>H5</f>
        <v>Non-Residential Natural Gas</v>
      </c>
      <c r="I42" s="183"/>
      <c r="J42" s="183"/>
      <c r="K42" s="183"/>
    </row>
    <row r="43" spans="1:12" x14ac:dyDescent="0.3">
      <c r="A43" s="103"/>
      <c r="B43" s="184" t="s">
        <v>207</v>
      </c>
      <c r="C43" s="184"/>
      <c r="D43" s="184"/>
      <c r="E43" s="184"/>
      <c r="F43" s="35"/>
      <c r="G43" s="103"/>
      <c r="H43" s="184" t="str">
        <f>B43</f>
        <v>Calculate Estimated Monthly Balances through October 2019</v>
      </c>
      <c r="I43" s="184"/>
      <c r="J43" s="184"/>
      <c r="K43" s="184"/>
    </row>
    <row r="44" spans="1:12" ht="28.8" x14ac:dyDescent="0.3">
      <c r="A44" s="103" t="s">
        <v>114</v>
      </c>
      <c r="B44" s="35"/>
      <c r="C44" s="32" t="s">
        <v>9</v>
      </c>
      <c r="D44" s="32" t="s">
        <v>4</v>
      </c>
      <c r="E44" s="41" t="s">
        <v>84</v>
      </c>
      <c r="F44" s="130" t="s">
        <v>150</v>
      </c>
      <c r="G44" s="103" t="s">
        <v>114</v>
      </c>
      <c r="H44" s="35"/>
      <c r="I44" s="32" t="s">
        <v>9</v>
      </c>
      <c r="J44" s="32" t="s">
        <v>4</v>
      </c>
      <c r="K44" s="41" t="s">
        <v>84</v>
      </c>
      <c r="L44" s="167" t="s">
        <v>150</v>
      </c>
    </row>
    <row r="45" spans="1:12" x14ac:dyDescent="0.3">
      <c r="B45" s="35"/>
      <c r="C45" s="35"/>
      <c r="D45" s="68"/>
      <c r="E45" s="35"/>
      <c r="F45" s="35"/>
      <c r="H45" s="35"/>
      <c r="I45" s="35"/>
      <c r="J45" s="68"/>
      <c r="K45" s="35"/>
    </row>
    <row r="46" spans="1:12" x14ac:dyDescent="0.3">
      <c r="A46" s="105">
        <v>1</v>
      </c>
      <c r="B46" s="64">
        <v>43070</v>
      </c>
      <c r="C46" s="34">
        <v>-1972082.04</v>
      </c>
      <c r="D46" s="35"/>
      <c r="E46" s="35"/>
      <c r="F46" s="35"/>
      <c r="G46" s="105">
        <v>1</v>
      </c>
      <c r="H46" s="64">
        <f>B46</f>
        <v>43070</v>
      </c>
      <c r="I46" s="34">
        <v>840286.11</v>
      </c>
      <c r="J46" s="35"/>
      <c r="K46" s="35"/>
    </row>
    <row r="47" spans="1:12" x14ac:dyDescent="0.3">
      <c r="A47" s="105">
        <v>2</v>
      </c>
      <c r="B47" s="126" t="s">
        <v>93</v>
      </c>
      <c r="C47" s="34">
        <f>-'Earnings Test and 3% Test'!F34</f>
        <v>-1913898</v>
      </c>
      <c r="D47" s="35"/>
      <c r="E47" s="35"/>
      <c r="F47" s="35"/>
      <c r="G47" s="105">
        <v>2</v>
      </c>
      <c r="H47" s="126" t="str">
        <f t="shared" ref="H47:H71" si="6">B47</f>
        <v>Earnings Sharing Adjustment</v>
      </c>
      <c r="I47" s="34">
        <f>-'Earnings Test and 3% Test'!F35</f>
        <v>-568113</v>
      </c>
      <c r="J47" s="35"/>
      <c r="K47" s="35"/>
    </row>
    <row r="48" spans="1:12" x14ac:dyDescent="0.3">
      <c r="A48" s="105">
        <v>3</v>
      </c>
      <c r="B48" s="126" t="s">
        <v>94</v>
      </c>
      <c r="C48" s="34">
        <f>C46+C47</f>
        <v>-3885980.04</v>
      </c>
      <c r="D48" s="35"/>
      <c r="E48" s="35"/>
      <c r="F48" s="35"/>
      <c r="G48" s="105">
        <v>3</v>
      </c>
      <c r="H48" s="126" t="str">
        <f t="shared" si="6"/>
        <v>Adjusted December Balance</v>
      </c>
      <c r="I48" s="34">
        <f>I46+I47</f>
        <v>272173.11</v>
      </c>
      <c r="J48" s="35"/>
      <c r="K48" s="35"/>
    </row>
    <row r="49" spans="1:12" x14ac:dyDescent="0.3">
      <c r="A49" s="105">
        <v>4</v>
      </c>
      <c r="B49" s="64">
        <f>B46+31</f>
        <v>43101</v>
      </c>
      <c r="C49" s="34">
        <f>C48+D49-E49</f>
        <v>-3899742.885975</v>
      </c>
      <c r="D49" s="34">
        <f>(C48-E49/2)*F49/12</f>
        <v>-13762.845975000002</v>
      </c>
      <c r="E49" s="35"/>
      <c r="F49" s="166">
        <v>4.2500000000000003E-2</v>
      </c>
      <c r="G49" s="105">
        <v>4</v>
      </c>
      <c r="H49" s="64">
        <f t="shared" si="6"/>
        <v>43101</v>
      </c>
      <c r="I49" s="34">
        <f>I48+J49-K49</f>
        <v>273137.05643125001</v>
      </c>
      <c r="J49" s="34">
        <f>(I48-K49/2)*L49/12</f>
        <v>963.94643125000005</v>
      </c>
      <c r="K49" s="35"/>
      <c r="L49" s="109">
        <f>F49</f>
        <v>4.2500000000000003E-2</v>
      </c>
    </row>
    <row r="50" spans="1:12" x14ac:dyDescent="0.3">
      <c r="A50" s="105">
        <v>5</v>
      </c>
      <c r="B50" s="64">
        <f>B49+31</f>
        <v>43132</v>
      </c>
      <c r="C50" s="34">
        <f t="shared" ref="C50:C58" si="7">C49+D50-E50</f>
        <v>-3913554.475362828</v>
      </c>
      <c r="D50" s="107">
        <f t="shared" ref="D50:D58" si="8">(C49-E50/2)*F50/12</f>
        <v>-13811.589387828126</v>
      </c>
      <c r="E50" s="35"/>
      <c r="F50" s="166">
        <f>F49</f>
        <v>4.2500000000000003E-2</v>
      </c>
      <c r="G50" s="105">
        <v>5</v>
      </c>
      <c r="H50" s="64">
        <f t="shared" si="6"/>
        <v>43132</v>
      </c>
      <c r="I50" s="34">
        <f t="shared" ref="I50:I71" si="9">I49+J50-K50</f>
        <v>274104.41683944402</v>
      </c>
      <c r="J50" s="107">
        <f t="shared" ref="J50:J58" si="10">(I49-K50/2)*L50/12</f>
        <v>967.36040819401057</v>
      </c>
      <c r="K50" s="35"/>
      <c r="L50" s="109">
        <f t="shared" ref="L50:L71" si="11">F50</f>
        <v>4.2500000000000003E-2</v>
      </c>
    </row>
    <row r="51" spans="1:12" x14ac:dyDescent="0.3">
      <c r="A51" s="105">
        <v>6</v>
      </c>
      <c r="B51" s="64">
        <f t="shared" ref="B51:B57" si="12">B50+31</f>
        <v>43163</v>
      </c>
      <c r="C51" s="34">
        <f t="shared" si="7"/>
        <v>-3927414.9807964046</v>
      </c>
      <c r="D51" s="107">
        <f t="shared" si="8"/>
        <v>-13860.505433576684</v>
      </c>
      <c r="E51" s="35"/>
      <c r="F51" s="166">
        <f t="shared" ref="F51:F71" si="13">F50</f>
        <v>4.2500000000000003E-2</v>
      </c>
      <c r="G51" s="105">
        <v>6</v>
      </c>
      <c r="H51" s="64">
        <f t="shared" si="6"/>
        <v>43163</v>
      </c>
      <c r="I51" s="34">
        <f t="shared" si="9"/>
        <v>275075.2033157504</v>
      </c>
      <c r="J51" s="107">
        <f t="shared" si="10"/>
        <v>970.78647630636431</v>
      </c>
      <c r="K51" s="35"/>
      <c r="L51" s="109">
        <f t="shared" si="11"/>
        <v>4.2500000000000003E-2</v>
      </c>
    </row>
    <row r="52" spans="1:12" x14ac:dyDescent="0.3">
      <c r="A52" s="105">
        <v>7</v>
      </c>
      <c r="B52" s="64">
        <f t="shared" si="12"/>
        <v>43194</v>
      </c>
      <c r="C52" s="34">
        <f t="shared" si="7"/>
        <v>-3942044.6015998712</v>
      </c>
      <c r="D52" s="107">
        <f t="shared" si="8"/>
        <v>-14629.620803466605</v>
      </c>
      <c r="E52" s="35"/>
      <c r="F52" s="166">
        <v>4.4699999999999997E-2</v>
      </c>
      <c r="G52" s="105">
        <v>7</v>
      </c>
      <c r="H52" s="64">
        <f t="shared" si="6"/>
        <v>43194</v>
      </c>
      <c r="I52" s="34">
        <f t="shared" si="9"/>
        <v>276099.85844810156</v>
      </c>
      <c r="J52" s="107">
        <f t="shared" si="10"/>
        <v>1024.6551323511701</v>
      </c>
      <c r="K52" s="35"/>
      <c r="L52" s="109">
        <f t="shared" si="11"/>
        <v>4.4699999999999997E-2</v>
      </c>
    </row>
    <row r="53" spans="1:12" x14ac:dyDescent="0.3">
      <c r="A53" s="105">
        <v>8</v>
      </c>
      <c r="B53" s="64">
        <f t="shared" si="12"/>
        <v>43225</v>
      </c>
      <c r="C53" s="34">
        <f t="shared" si="7"/>
        <v>-3956728.7177408305</v>
      </c>
      <c r="D53" s="107">
        <f t="shared" si="8"/>
        <v>-14684.116140959521</v>
      </c>
      <c r="E53" s="35"/>
      <c r="F53" s="166">
        <f t="shared" si="13"/>
        <v>4.4699999999999997E-2</v>
      </c>
      <c r="G53" s="105">
        <v>8</v>
      </c>
      <c r="H53" s="64">
        <f t="shared" si="6"/>
        <v>43225</v>
      </c>
      <c r="I53" s="34">
        <f t="shared" si="9"/>
        <v>277128.33042082074</v>
      </c>
      <c r="J53" s="107">
        <f t="shared" si="10"/>
        <v>1028.4719727191782</v>
      </c>
      <c r="K53" s="35"/>
      <c r="L53" s="109">
        <f t="shared" si="11"/>
        <v>4.4699999999999997E-2</v>
      </c>
    </row>
    <row r="54" spans="1:12" x14ac:dyDescent="0.3">
      <c r="A54" s="105">
        <v>9</v>
      </c>
      <c r="B54" s="64">
        <f t="shared" si="12"/>
        <v>43256</v>
      </c>
      <c r="C54" s="34">
        <f t="shared" si="7"/>
        <v>-3971467.5322144153</v>
      </c>
      <c r="D54" s="107">
        <f t="shared" si="8"/>
        <v>-14738.814473584593</v>
      </c>
      <c r="E54" s="35"/>
      <c r="F54" s="166">
        <f t="shared" si="13"/>
        <v>4.4699999999999997E-2</v>
      </c>
      <c r="G54" s="105">
        <v>9</v>
      </c>
      <c r="H54" s="64">
        <f t="shared" si="6"/>
        <v>43256</v>
      </c>
      <c r="I54" s="34">
        <f t="shared" si="9"/>
        <v>278160.63345163828</v>
      </c>
      <c r="J54" s="107">
        <f t="shared" si="10"/>
        <v>1032.3030308175573</v>
      </c>
      <c r="K54" s="35"/>
      <c r="L54" s="109">
        <f t="shared" si="11"/>
        <v>4.4699999999999997E-2</v>
      </c>
    </row>
    <row r="55" spans="1:12" x14ac:dyDescent="0.3">
      <c r="A55" s="105">
        <v>10</v>
      </c>
      <c r="B55" s="64">
        <f t="shared" si="12"/>
        <v>43287</v>
      </c>
      <c r="C55" s="34">
        <f t="shared" si="7"/>
        <v>-3986989.35115282</v>
      </c>
      <c r="D55" s="107">
        <f t="shared" si="8"/>
        <v>-15521.818938404671</v>
      </c>
      <c r="E55" s="35"/>
      <c r="F55" s="166">
        <v>4.6899999999999997E-2</v>
      </c>
      <c r="G55" s="105">
        <v>10</v>
      </c>
      <c r="H55" s="64">
        <f t="shared" si="6"/>
        <v>43287</v>
      </c>
      <c r="I55" s="34">
        <f t="shared" si="9"/>
        <v>279247.77792737843</v>
      </c>
      <c r="J55" s="107">
        <f t="shared" si="10"/>
        <v>1087.144475740153</v>
      </c>
      <c r="K55" s="35"/>
      <c r="L55" s="109">
        <f t="shared" si="11"/>
        <v>4.6899999999999997E-2</v>
      </c>
    </row>
    <row r="56" spans="1:12" x14ac:dyDescent="0.3">
      <c r="A56" s="105">
        <v>11</v>
      </c>
      <c r="B56" s="64">
        <f t="shared" si="12"/>
        <v>43318</v>
      </c>
      <c r="C56" s="34">
        <f t="shared" si="7"/>
        <v>-4002571.8345335755</v>
      </c>
      <c r="D56" s="107">
        <f t="shared" si="8"/>
        <v>-15582.483380755604</v>
      </c>
      <c r="E56" s="35"/>
      <c r="F56" s="166">
        <f t="shared" si="13"/>
        <v>4.6899999999999997E-2</v>
      </c>
      <c r="G56" s="105">
        <v>11</v>
      </c>
      <c r="H56" s="64">
        <f t="shared" si="6"/>
        <v>43318</v>
      </c>
      <c r="I56" s="34">
        <f t="shared" si="9"/>
        <v>280339.17132611125</v>
      </c>
      <c r="J56" s="107">
        <f t="shared" si="10"/>
        <v>1091.3933987328373</v>
      </c>
      <c r="K56" s="35"/>
      <c r="L56" s="109">
        <f t="shared" si="11"/>
        <v>4.6899999999999997E-2</v>
      </c>
    </row>
    <row r="57" spans="1:12" x14ac:dyDescent="0.3">
      <c r="A57" s="105">
        <v>12</v>
      </c>
      <c r="B57" s="64">
        <f t="shared" si="12"/>
        <v>43349</v>
      </c>
      <c r="C57" s="34">
        <f t="shared" si="7"/>
        <v>-4018215.2194535444</v>
      </c>
      <c r="D57" s="107">
        <f t="shared" si="8"/>
        <v>-15643.384919968723</v>
      </c>
      <c r="E57" s="35"/>
      <c r="F57" s="166">
        <f t="shared" si="13"/>
        <v>4.6899999999999997E-2</v>
      </c>
      <c r="G57" s="105">
        <v>12</v>
      </c>
      <c r="H57" s="64">
        <f t="shared" si="6"/>
        <v>43349</v>
      </c>
      <c r="I57" s="34">
        <f t="shared" si="9"/>
        <v>281434.83025404415</v>
      </c>
      <c r="J57" s="107">
        <f t="shared" si="10"/>
        <v>1095.6589279328848</v>
      </c>
      <c r="K57" s="35"/>
      <c r="L57" s="109">
        <f t="shared" si="11"/>
        <v>4.6899999999999997E-2</v>
      </c>
    </row>
    <row r="58" spans="1:12" x14ac:dyDescent="0.3">
      <c r="A58" s="105">
        <v>13</v>
      </c>
      <c r="B58" s="66">
        <f>B57+31</f>
        <v>43380</v>
      </c>
      <c r="C58" s="67">
        <f t="shared" si="7"/>
        <v>-4033919.7439362421</v>
      </c>
      <c r="D58" s="107">
        <f t="shared" si="8"/>
        <v>-15704.524482697603</v>
      </c>
      <c r="E58" s="35"/>
      <c r="F58" s="166">
        <f t="shared" si="13"/>
        <v>4.6899999999999997E-2</v>
      </c>
      <c r="G58" s="105">
        <v>13</v>
      </c>
      <c r="H58" s="64">
        <f t="shared" si="6"/>
        <v>43380</v>
      </c>
      <c r="I58" s="67">
        <f t="shared" si="9"/>
        <v>282534.77138228703</v>
      </c>
      <c r="J58" s="107">
        <f t="shared" si="10"/>
        <v>1099.9411282428891</v>
      </c>
      <c r="K58" s="35"/>
      <c r="L58" s="109">
        <f t="shared" si="11"/>
        <v>4.6899999999999997E-2</v>
      </c>
    </row>
    <row r="59" spans="1:12" s="106" customFormat="1" x14ac:dyDescent="0.3">
      <c r="A59" s="113">
        <v>14</v>
      </c>
      <c r="B59" s="126" t="s">
        <v>155</v>
      </c>
      <c r="C59" s="59">
        <f>'Prior Year Amortization'!F20</f>
        <v>799628.13000000012</v>
      </c>
      <c r="D59" s="107"/>
      <c r="E59" s="35"/>
      <c r="F59" s="166">
        <f t="shared" si="13"/>
        <v>4.6899999999999997E-2</v>
      </c>
      <c r="G59" s="113">
        <v>14</v>
      </c>
      <c r="H59" s="126" t="s">
        <v>232</v>
      </c>
      <c r="I59" s="59">
        <f>'Prior Year Amortization'!F37</f>
        <v>99554.620000000112</v>
      </c>
      <c r="J59" s="107"/>
      <c r="K59" s="35"/>
      <c r="L59" s="109">
        <f t="shared" si="11"/>
        <v>4.6899999999999997E-2</v>
      </c>
    </row>
    <row r="60" spans="1:12" x14ac:dyDescent="0.3">
      <c r="A60" s="113">
        <v>15</v>
      </c>
      <c r="B60" s="64">
        <f>B58+31</f>
        <v>43411</v>
      </c>
      <c r="C60" s="34">
        <f>C58+C59+D60-E60</f>
        <v>-2846533.0344425724</v>
      </c>
      <c r="D60" s="34">
        <f>(C58+C59-E60/2)*F60/12</f>
        <v>-11859.76886870933</v>
      </c>
      <c r="E60" s="34">
        <f>E9*D$31</f>
        <v>-399618.34836237889</v>
      </c>
      <c r="F60" s="166">
        <f t="shared" si="13"/>
        <v>4.6899999999999997E-2</v>
      </c>
      <c r="G60" s="113">
        <v>15</v>
      </c>
      <c r="H60" s="64">
        <f t="shared" si="6"/>
        <v>43411</v>
      </c>
      <c r="I60" s="34">
        <f>I58+I59+J60-K60</f>
        <v>333176.96531669406</v>
      </c>
      <c r="J60" s="34">
        <f>(I58+I59-K60/2)*L60/12</f>
        <v>1395.0235635022484</v>
      </c>
      <c r="K60" s="34">
        <f>K9*J$31</f>
        <v>50307.449629095303</v>
      </c>
      <c r="L60" s="109">
        <f t="shared" si="11"/>
        <v>4.6899999999999997E-2</v>
      </c>
    </row>
    <row r="61" spans="1:12" x14ac:dyDescent="0.3">
      <c r="A61" s="113">
        <v>16</v>
      </c>
      <c r="B61" s="64">
        <f t="shared" ref="B61:B70" si="14">B60+31</f>
        <v>43442</v>
      </c>
      <c r="C61" s="34">
        <f t="shared" ref="C61:C71" si="15">C60+D61-E61</f>
        <v>-2259766.6296626059</v>
      </c>
      <c r="D61" s="107">
        <f>(C60-E61/2)*F61/12</f>
        <v>-9959.0988545938508</v>
      </c>
      <c r="E61" s="34">
        <f t="shared" ref="E61:E71" si="16">E10*D$31</f>
        <v>-596725.50363456015</v>
      </c>
      <c r="F61" s="166">
        <f t="shared" si="13"/>
        <v>4.6899999999999997E-2</v>
      </c>
      <c r="G61" s="113">
        <v>16</v>
      </c>
      <c r="H61" s="64">
        <f t="shared" si="6"/>
        <v>43442</v>
      </c>
      <c r="I61" s="34">
        <f t="shared" si="9"/>
        <v>273561.16398932342</v>
      </c>
      <c r="J61" s="34">
        <f>(I60-K61/2)*L61/12</f>
        <v>1183.3549548778522</v>
      </c>
      <c r="K61" s="34">
        <f t="shared" ref="K61:K71" si="17">K10*J$31</f>
        <v>60799.156282248478</v>
      </c>
      <c r="L61" s="109">
        <f t="shared" si="11"/>
        <v>4.6899999999999997E-2</v>
      </c>
    </row>
    <row r="62" spans="1:12" ht="14.4" customHeight="1" x14ac:dyDescent="0.3">
      <c r="A62" s="113">
        <v>17</v>
      </c>
      <c r="B62" s="64">
        <f t="shared" si="14"/>
        <v>43473</v>
      </c>
      <c r="C62" s="34">
        <f t="shared" si="15"/>
        <v>-1681247.9657202298</v>
      </c>
      <c r="D62" s="107">
        <f t="shared" ref="D62:D71" si="18">(C61-E62/2)*F62/12</f>
        <v>-7686.3788897302766</v>
      </c>
      <c r="E62" s="34">
        <f t="shared" si="16"/>
        <v>-586205.04283210624</v>
      </c>
      <c r="F62" s="166">
        <f t="shared" si="13"/>
        <v>4.6899999999999997E-2</v>
      </c>
      <c r="G62" s="113">
        <v>17</v>
      </c>
      <c r="H62" s="64">
        <f t="shared" si="6"/>
        <v>43473</v>
      </c>
      <c r="I62" s="34">
        <f t="shared" si="9"/>
        <v>212107.32485918023</v>
      </c>
      <c r="J62" s="107">
        <f t="shared" ref="J62:J71" si="19">(I61-K62/2)*L62/12</f>
        <v>947.2261342208277</v>
      </c>
      <c r="K62" s="34">
        <f t="shared" si="17"/>
        <v>62401.065264364028</v>
      </c>
      <c r="L62" s="109">
        <f t="shared" si="11"/>
        <v>4.6899999999999997E-2</v>
      </c>
    </row>
    <row r="63" spans="1:12" x14ac:dyDescent="0.3">
      <c r="A63" s="113">
        <v>18</v>
      </c>
      <c r="B63" s="64">
        <f t="shared" si="14"/>
        <v>43504</v>
      </c>
      <c r="C63" s="34">
        <f t="shared" si="15"/>
        <v>-1218277.9488536408</v>
      </c>
      <c r="D63" s="107">
        <f t="shared" si="18"/>
        <v>-5655.1058720048941</v>
      </c>
      <c r="E63" s="34">
        <f t="shared" si="16"/>
        <v>-468625.12273859396</v>
      </c>
      <c r="F63" s="166">
        <f t="shared" si="13"/>
        <v>4.6899999999999997E-2</v>
      </c>
      <c r="G63" s="113">
        <v>18</v>
      </c>
      <c r="H63" s="64">
        <f t="shared" si="6"/>
        <v>43504</v>
      </c>
      <c r="I63" s="34">
        <f t="shared" si="9"/>
        <v>166186.44030938385</v>
      </c>
      <c r="J63" s="107">
        <f t="shared" si="19"/>
        <v>737.8072677312108</v>
      </c>
      <c r="K63" s="34">
        <f t="shared" si="17"/>
        <v>46658.691817527564</v>
      </c>
      <c r="L63" s="109">
        <f t="shared" si="11"/>
        <v>4.6899999999999997E-2</v>
      </c>
    </row>
    <row r="64" spans="1:12" x14ac:dyDescent="0.3">
      <c r="A64" s="113">
        <v>19</v>
      </c>
      <c r="B64" s="64">
        <f t="shared" si="14"/>
        <v>43535</v>
      </c>
      <c r="C64" s="34">
        <f t="shared" si="15"/>
        <v>-833513.46925984253</v>
      </c>
      <c r="D64" s="107">
        <f t="shared" si="18"/>
        <v>-4001.7223637775501</v>
      </c>
      <c r="E64" s="34">
        <f t="shared" si="16"/>
        <v>-388766.2019575758</v>
      </c>
      <c r="F64" s="166">
        <f t="shared" si="13"/>
        <v>4.6899999999999997E-2</v>
      </c>
      <c r="G64" s="113">
        <v>19</v>
      </c>
      <c r="H64" s="64">
        <f t="shared" si="6"/>
        <v>43535</v>
      </c>
      <c r="I64" s="34">
        <f t="shared" si="9"/>
        <v>124423.39464264612</v>
      </c>
      <c r="J64" s="107">
        <f t="shared" si="19"/>
        <v>566.79244556471747</v>
      </c>
      <c r="K64" s="34">
        <f t="shared" si="17"/>
        <v>42329.838112302459</v>
      </c>
      <c r="L64" s="109">
        <f t="shared" si="11"/>
        <v>4.6899999999999997E-2</v>
      </c>
    </row>
    <row r="65" spans="1:12" x14ac:dyDescent="0.3">
      <c r="A65" s="113">
        <v>20</v>
      </c>
      <c r="B65" s="64">
        <f t="shared" si="14"/>
        <v>43566</v>
      </c>
      <c r="C65" s="34">
        <f t="shared" si="15"/>
        <v>-590841.98298194783</v>
      </c>
      <c r="D65" s="107">
        <f t="shared" si="18"/>
        <v>-2777.999272677142</v>
      </c>
      <c r="E65" s="34">
        <f t="shared" si="16"/>
        <v>-245449.48555057179</v>
      </c>
      <c r="F65" s="166">
        <f t="shared" si="13"/>
        <v>4.6899999999999997E-2</v>
      </c>
      <c r="G65" s="113">
        <v>20</v>
      </c>
      <c r="H65" s="64">
        <f t="shared" si="6"/>
        <v>43566</v>
      </c>
      <c r="I65" s="34">
        <f t="shared" si="9"/>
        <v>97928.583323884202</v>
      </c>
      <c r="J65" s="107">
        <f t="shared" si="19"/>
        <v>433.66536920061509</v>
      </c>
      <c r="K65" s="34">
        <f t="shared" si="17"/>
        <v>26928.476687962535</v>
      </c>
      <c r="L65" s="109">
        <f t="shared" si="11"/>
        <v>4.6899999999999997E-2</v>
      </c>
    </row>
    <row r="66" spans="1:12" x14ac:dyDescent="0.3">
      <c r="A66" s="113">
        <v>21</v>
      </c>
      <c r="B66" s="64">
        <f t="shared" si="14"/>
        <v>43597</v>
      </c>
      <c r="C66" s="34">
        <f t="shared" si="15"/>
        <v>-462253.347042626</v>
      </c>
      <c r="D66" s="107">
        <f t="shared" si="18"/>
        <v>-2053.9101080868018</v>
      </c>
      <c r="E66" s="34">
        <f t="shared" si="16"/>
        <v>-130642.54604740858</v>
      </c>
      <c r="F66" s="166">
        <f t="shared" si="13"/>
        <v>4.6899999999999997E-2</v>
      </c>
      <c r="G66" s="113">
        <v>21</v>
      </c>
      <c r="H66" s="64">
        <f t="shared" si="6"/>
        <v>43597</v>
      </c>
      <c r="I66" s="34">
        <f t="shared" si="9"/>
        <v>81577.051626322544</v>
      </c>
      <c r="J66" s="107">
        <f t="shared" si="19"/>
        <v>350.09977498823946</v>
      </c>
      <c r="K66" s="34">
        <f t="shared" si="17"/>
        <v>16701.631472549892</v>
      </c>
      <c r="L66" s="109">
        <f t="shared" si="11"/>
        <v>4.6899999999999997E-2</v>
      </c>
    </row>
    <row r="67" spans="1:12" x14ac:dyDescent="0.3">
      <c r="A67" s="113">
        <v>22</v>
      </c>
      <c r="B67" s="64">
        <f t="shared" si="14"/>
        <v>43628</v>
      </c>
      <c r="C67" s="34">
        <f t="shared" si="15"/>
        <v>-389996.68781963689</v>
      </c>
      <c r="D67" s="107">
        <f t="shared" si="18"/>
        <v>-1662.1904126951968</v>
      </c>
      <c r="E67" s="34">
        <f t="shared" si="16"/>
        <v>-73918.84963568431</v>
      </c>
      <c r="F67" s="166">
        <f t="shared" si="13"/>
        <v>4.6899999999999997E-2</v>
      </c>
      <c r="G67" s="113">
        <v>22</v>
      </c>
      <c r="H67" s="64">
        <f t="shared" si="6"/>
        <v>43628</v>
      </c>
      <c r="I67" s="34">
        <f t="shared" si="9"/>
        <v>70267.800011495128</v>
      </c>
      <c r="J67" s="107">
        <f t="shared" si="19"/>
        <v>296.15141834555175</v>
      </c>
      <c r="K67" s="34">
        <f t="shared" si="17"/>
        <v>11605.403033172966</v>
      </c>
      <c r="L67" s="109">
        <f t="shared" si="11"/>
        <v>4.6899999999999997E-2</v>
      </c>
    </row>
    <row r="68" spans="1:12" x14ac:dyDescent="0.3">
      <c r="A68" s="113">
        <v>23</v>
      </c>
      <c r="B68" s="64">
        <f t="shared" si="14"/>
        <v>43659</v>
      </c>
      <c r="C68" s="34">
        <f t="shared" si="15"/>
        <v>-334681.0690093913</v>
      </c>
      <c r="D68" s="107">
        <f t="shared" si="18"/>
        <v>-1413.3791380710788</v>
      </c>
      <c r="E68" s="34">
        <f t="shared" si="16"/>
        <v>-56728.997948316661</v>
      </c>
      <c r="F68" s="166">
        <f t="shared" si="13"/>
        <v>4.6899999999999997E-2</v>
      </c>
      <c r="G68" s="113">
        <v>23</v>
      </c>
      <c r="H68" s="64">
        <f t="shared" si="6"/>
        <v>43659</v>
      </c>
      <c r="I68" s="34">
        <f t="shared" si="9"/>
        <v>58054.932800115908</v>
      </c>
      <c r="J68" s="107">
        <f t="shared" si="19"/>
        <v>250.27492811400046</v>
      </c>
      <c r="K68" s="34">
        <f t="shared" si="17"/>
        <v>12463.142139493217</v>
      </c>
      <c r="L68" s="109">
        <f t="shared" si="11"/>
        <v>4.6899999999999997E-2</v>
      </c>
    </row>
    <row r="69" spans="1:12" x14ac:dyDescent="0.3">
      <c r="A69" s="113">
        <v>24</v>
      </c>
      <c r="B69" s="64">
        <f t="shared" si="14"/>
        <v>43690</v>
      </c>
      <c r="C69" s="34">
        <f t="shared" si="15"/>
        <v>-271467.07939852314</v>
      </c>
      <c r="D69" s="107">
        <f t="shared" si="18"/>
        <v>-1182.2042824784562</v>
      </c>
      <c r="E69" s="34">
        <f t="shared" si="16"/>
        <v>-64396.193893346564</v>
      </c>
      <c r="F69" s="166">
        <f t="shared" si="13"/>
        <v>4.6899999999999997E-2</v>
      </c>
      <c r="G69" s="113">
        <v>24</v>
      </c>
      <c r="H69" s="64">
        <f t="shared" si="6"/>
        <v>43690</v>
      </c>
      <c r="I69" s="34">
        <f t="shared" si="9"/>
        <v>47584.492421648378</v>
      </c>
      <c r="J69" s="107">
        <f t="shared" si="19"/>
        <v>206.03441786262451</v>
      </c>
      <c r="K69" s="34">
        <f t="shared" si="17"/>
        <v>10676.474796330152</v>
      </c>
      <c r="L69" s="109">
        <f t="shared" si="11"/>
        <v>4.6899999999999997E-2</v>
      </c>
    </row>
    <row r="70" spans="1:12" x14ac:dyDescent="0.3">
      <c r="A70" s="113">
        <v>25</v>
      </c>
      <c r="B70" s="64">
        <f t="shared" si="14"/>
        <v>43721</v>
      </c>
      <c r="C70" s="34">
        <f t="shared" si="15"/>
        <v>-206754.37078711641</v>
      </c>
      <c r="D70" s="107">
        <f t="shared" si="18"/>
        <v>-932.70176254346688</v>
      </c>
      <c r="E70" s="34">
        <f t="shared" si="16"/>
        <v>-65645.410373950188</v>
      </c>
      <c r="F70" s="166">
        <f t="shared" si="13"/>
        <v>4.6899999999999997E-2</v>
      </c>
      <c r="G70" s="113">
        <v>25</v>
      </c>
      <c r="H70" s="64">
        <f t="shared" si="6"/>
        <v>43721</v>
      </c>
      <c r="I70" s="34">
        <f t="shared" si="9"/>
        <v>31275.392023100114</v>
      </c>
      <c r="J70" s="107">
        <f t="shared" si="19"/>
        <v>153.80479731103401</v>
      </c>
      <c r="K70" s="34">
        <f t="shared" si="17"/>
        <v>16462.905195859301</v>
      </c>
      <c r="L70" s="109">
        <f t="shared" si="11"/>
        <v>4.6899999999999997E-2</v>
      </c>
    </row>
    <row r="71" spans="1:12" x14ac:dyDescent="0.3">
      <c r="A71" s="113">
        <v>26</v>
      </c>
      <c r="B71" s="66">
        <f>B70+31</f>
        <v>43752</v>
      </c>
      <c r="C71" s="67">
        <f t="shared" si="15"/>
        <v>2080.1996485129639</v>
      </c>
      <c r="D71" s="107">
        <f t="shared" si="18"/>
        <v>-399.18736412595808</v>
      </c>
      <c r="E71" s="34">
        <f t="shared" si="16"/>
        <v>-209233.75779975532</v>
      </c>
      <c r="F71" s="166">
        <f t="shared" si="13"/>
        <v>4.6899999999999997E-2</v>
      </c>
      <c r="G71" s="113">
        <v>26</v>
      </c>
      <c r="H71" s="64">
        <f t="shared" si="6"/>
        <v>43752</v>
      </c>
      <c r="I71" s="67">
        <f t="shared" si="9"/>
        <v>-758.41587333019561</v>
      </c>
      <c r="J71" s="107">
        <f t="shared" si="19"/>
        <v>59.518947615876016</v>
      </c>
      <c r="K71" s="34">
        <f t="shared" si="17"/>
        <v>32093.326844046187</v>
      </c>
      <c r="L71" s="109">
        <f t="shared" si="11"/>
        <v>4.6899999999999997E-2</v>
      </c>
    </row>
    <row r="72" spans="1:12" x14ac:dyDescent="0.3">
      <c r="B72" s="35"/>
      <c r="C72" s="35"/>
      <c r="D72" s="35"/>
      <c r="E72" s="35"/>
      <c r="F72" s="35"/>
      <c r="H72" s="35"/>
      <c r="I72" s="35"/>
      <c r="J72" s="35"/>
      <c r="K72" s="35"/>
    </row>
    <row r="73" spans="1:12" x14ac:dyDescent="0.3">
      <c r="A73" s="105">
        <v>27</v>
      </c>
      <c r="B73" s="39" t="s">
        <v>115</v>
      </c>
      <c r="C73" s="35"/>
      <c r="D73" s="34">
        <f>SUM(D49:D72)</f>
        <v>-197523.35112573614</v>
      </c>
      <c r="E73" s="34">
        <f>SUM(E60:E71)</f>
        <v>-3285955.4607742489</v>
      </c>
      <c r="F73" s="35"/>
      <c r="G73" s="105">
        <v>27</v>
      </c>
      <c r="H73" s="39" t="s">
        <v>115</v>
      </c>
      <c r="I73" s="35"/>
      <c r="J73" s="34">
        <f>SUM(J49:J72)</f>
        <v>16941.415401621845</v>
      </c>
      <c r="K73" s="34">
        <f>SUM(K60:K71)</f>
        <v>389427.56127495202</v>
      </c>
    </row>
    <row r="74" spans="1:12" x14ac:dyDescent="0.3">
      <c r="A74" s="105"/>
      <c r="B74" s="39"/>
      <c r="C74" s="35"/>
      <c r="D74" s="35"/>
      <c r="E74" s="35"/>
      <c r="F74" s="35"/>
      <c r="G74" s="105"/>
      <c r="H74" s="39"/>
      <c r="I74" s="35"/>
      <c r="J74" s="35"/>
      <c r="K74" s="35"/>
    </row>
    <row r="75" spans="1:12" x14ac:dyDescent="0.3">
      <c r="B75" s="54" t="s">
        <v>121</v>
      </c>
      <c r="H75" s="54" t="s">
        <v>121</v>
      </c>
    </row>
    <row r="76" spans="1:12" x14ac:dyDescent="0.3">
      <c r="A76" s="105">
        <v>28</v>
      </c>
      <c r="B76" t="s">
        <v>208</v>
      </c>
      <c r="C76" s="100">
        <f>C46</f>
        <v>-1972082.04</v>
      </c>
      <c r="G76" s="113">
        <v>28</v>
      </c>
      <c r="H76" s="106" t="s">
        <v>208</v>
      </c>
      <c r="I76" s="100">
        <f>I46</f>
        <v>840286.11</v>
      </c>
    </row>
    <row r="77" spans="1:12" x14ac:dyDescent="0.3">
      <c r="A77" s="105">
        <v>29</v>
      </c>
      <c r="B77" t="s">
        <v>117</v>
      </c>
      <c r="C77" s="100">
        <f>C47</f>
        <v>-1913898</v>
      </c>
      <c r="G77" s="113">
        <v>29</v>
      </c>
      <c r="H77" s="106" t="s">
        <v>117</v>
      </c>
      <c r="I77" s="100">
        <f>I47</f>
        <v>-568113</v>
      </c>
    </row>
    <row r="78" spans="1:12" s="106" customFormat="1" x14ac:dyDescent="0.3">
      <c r="A78" s="113">
        <v>30</v>
      </c>
      <c r="B78" s="106" t="s">
        <v>154</v>
      </c>
      <c r="C78" s="100">
        <f>C59</f>
        <v>799628.13000000012</v>
      </c>
      <c r="G78" s="113">
        <v>30</v>
      </c>
      <c r="H78" s="106" t="s">
        <v>231</v>
      </c>
      <c r="I78" s="110">
        <f>I59</f>
        <v>99554.620000000112</v>
      </c>
    </row>
    <row r="79" spans="1:12" x14ac:dyDescent="0.3">
      <c r="A79" s="113">
        <v>31</v>
      </c>
      <c r="B79" t="s">
        <v>209</v>
      </c>
      <c r="C79" s="100">
        <f>D73</f>
        <v>-197523.35112573614</v>
      </c>
      <c r="G79" s="113">
        <v>31</v>
      </c>
      <c r="H79" s="106" t="s">
        <v>209</v>
      </c>
      <c r="I79" s="100">
        <f>J73</f>
        <v>16941.415401621845</v>
      </c>
    </row>
    <row r="80" spans="1:12" x14ac:dyDescent="0.3">
      <c r="A80" s="113">
        <v>32</v>
      </c>
      <c r="B80" s="106" t="s">
        <v>135</v>
      </c>
      <c r="C80" s="100">
        <f>(D30-D31)*E22-C71</f>
        <v>-157710.74322773208</v>
      </c>
      <c r="G80" s="113">
        <v>32</v>
      </c>
      <c r="H80" s="106" t="s">
        <v>135</v>
      </c>
      <c r="I80" s="100">
        <f>(J30-J31)*K22-I71</f>
        <v>19049.710418062816</v>
      </c>
    </row>
    <row r="81" spans="1:9" x14ac:dyDescent="0.3">
      <c r="A81" s="113">
        <v>33</v>
      </c>
      <c r="B81" t="s">
        <v>133</v>
      </c>
      <c r="C81" s="101">
        <f>SUM(C76:C80)</f>
        <v>-3441586.0043534683</v>
      </c>
      <c r="G81" s="113">
        <v>33</v>
      </c>
      <c r="H81" t="s">
        <v>133</v>
      </c>
      <c r="I81" s="101">
        <f>SUM(I76:I80)</f>
        <v>407718.85581968474</v>
      </c>
    </row>
    <row r="82" spans="1:9" x14ac:dyDescent="0.3">
      <c r="A82" s="113">
        <v>34</v>
      </c>
      <c r="B82" t="s">
        <v>136</v>
      </c>
      <c r="C82" s="100">
        <f>D30*E22</f>
        <v>-3441586.0043534678</v>
      </c>
      <c r="G82" s="113">
        <v>34</v>
      </c>
      <c r="H82" t="s">
        <v>118</v>
      </c>
      <c r="I82" s="100">
        <f>J30*K22</f>
        <v>407718.85581968469</v>
      </c>
    </row>
    <row r="83" spans="1:9" x14ac:dyDescent="0.3">
      <c r="A83" s="113">
        <v>35</v>
      </c>
      <c r="B83" t="s">
        <v>119</v>
      </c>
      <c r="C83" s="100">
        <f>C81-C82</f>
        <v>0</v>
      </c>
      <c r="G83" s="113">
        <v>35</v>
      </c>
      <c r="H83" t="s">
        <v>119</v>
      </c>
      <c r="I83" s="100">
        <f>I81-I82</f>
        <v>0</v>
      </c>
    </row>
  </sheetData>
  <customSheetViews>
    <customSheetView guid="{5C6B1FA1-B621-4699-B8F7-5011E8FF1BCD}" showPageBreaks="1" printArea="1" topLeftCell="A46">
      <selection activeCell="C32" sqref="C32"/>
      <rowBreaks count="1" manualBreakCount="1">
        <brk id="42" max="8" man="1"/>
      </rowBreaks>
      <colBreaks count="1" manualBreakCount="1">
        <brk id="5" max="59" man="1"/>
      </colBreaks>
      <pageMargins left="0.7" right="0.7" top="0.55000000000000004" bottom="0.48" header="0.3" footer="0.3"/>
      <printOptions horizontalCentered="1"/>
      <pageSetup scale="88" orientation="portrait" r:id="rId1"/>
    </customSheetView>
    <customSheetView guid="{6A207E9B-31ED-4215-AD4F-ABB2957B65E4}" showPageBreaks="1" printArea="1" topLeftCell="A46">
      <selection activeCell="C32" sqref="C32"/>
      <rowBreaks count="1" manualBreakCount="1">
        <brk id="42" max="8" man="1"/>
      </rowBreaks>
      <colBreaks count="1" manualBreakCount="1">
        <brk id="5" max="59" man="1"/>
      </colBreaks>
      <pageMargins left="0.7" right="0.7" top="0.55000000000000004" bottom="0.48" header="0.3" footer="0.3"/>
      <printOptions horizontalCentered="1"/>
      <pageSetup scale="88" orientation="portrait" r:id="rId2"/>
    </customSheetView>
  </customSheetViews>
  <mergeCells count="30">
    <mergeCell ref="B1:E1"/>
    <mergeCell ref="H1:K1"/>
    <mergeCell ref="B2:E2"/>
    <mergeCell ref="H2:K2"/>
    <mergeCell ref="B3:E3"/>
    <mergeCell ref="H3:K3"/>
    <mergeCell ref="B5:E5"/>
    <mergeCell ref="H5:K5"/>
    <mergeCell ref="B24:C24"/>
    <mergeCell ref="H24:I24"/>
    <mergeCell ref="B25:C25"/>
    <mergeCell ref="H25:I25"/>
    <mergeCell ref="B26:C26"/>
    <mergeCell ref="H26:I26"/>
    <mergeCell ref="B27:C27"/>
    <mergeCell ref="H27:I27"/>
    <mergeCell ref="B35:E35"/>
    <mergeCell ref="H35:K35"/>
    <mergeCell ref="B36:E36"/>
    <mergeCell ref="H36:K36"/>
    <mergeCell ref="B38:E38"/>
    <mergeCell ref="H38:K38"/>
    <mergeCell ref="B39:E39"/>
    <mergeCell ref="H39:K39"/>
    <mergeCell ref="B40:E40"/>
    <mergeCell ref="H40:K40"/>
    <mergeCell ref="B42:E42"/>
    <mergeCell ref="H42:K42"/>
    <mergeCell ref="B43:E43"/>
    <mergeCell ref="H43:K43"/>
  </mergeCells>
  <hyperlinks>
    <hyperlink ref="B37" r:id="rId3"/>
    <hyperlink ref="H37" r:id="rId4"/>
  </hyperlinks>
  <printOptions horizontalCentered="1"/>
  <pageMargins left="0.7" right="0.7" top="0.55000000000000004" bottom="0.48" header="0.3" footer="0.3"/>
  <pageSetup scale="88" orientation="portrait" r:id="rId5"/>
  <headerFooter>
    <oddFooter>&amp;CATTACHMENT A&amp;RPage &amp;P of 9</oddFooter>
  </headerFooter>
  <rowBreaks count="1" manualBreakCount="1">
    <brk id="41" max="11" man="1"/>
  </rowBreaks>
  <colBreaks count="1" manualBreakCount="1">
    <brk id="6" max="88" man="1"/>
  </colBreaks>
  <legacy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K81"/>
  <sheetViews>
    <sheetView topLeftCell="A30" zoomScaleNormal="100" workbookViewId="0">
      <selection activeCell="A43" sqref="A43"/>
    </sheetView>
  </sheetViews>
  <sheetFormatPr defaultRowHeight="14.4" x14ac:dyDescent="0.3"/>
  <cols>
    <col min="1" max="1" width="4.5546875" customWidth="1"/>
    <col min="2" max="2" width="27.88671875" customWidth="1"/>
    <col min="3" max="3" width="16.88671875" customWidth="1"/>
    <col min="4" max="4" width="16" customWidth="1"/>
    <col min="5" max="5" width="16.77734375" customWidth="1"/>
    <col min="6" max="6" width="2.21875" customWidth="1"/>
    <col min="7" max="7" width="4.88671875" customWidth="1"/>
    <col min="8" max="8" width="28" customWidth="1"/>
    <col min="9" max="9" width="18" customWidth="1"/>
    <col min="10" max="10" width="16.21875" customWidth="1"/>
    <col min="11" max="11" width="16.77734375" customWidth="1"/>
    <col min="12" max="12" width="2.21875" customWidth="1"/>
    <col min="13" max="14" width="11.6640625" customWidth="1"/>
    <col min="15" max="15" width="10.44140625" customWidth="1"/>
    <col min="16" max="16" width="12.6640625" customWidth="1"/>
  </cols>
  <sheetData>
    <row r="1" spans="1:11" x14ac:dyDescent="0.3">
      <c r="B1" s="189" t="s">
        <v>0</v>
      </c>
      <c r="C1" s="189"/>
      <c r="D1" s="189"/>
      <c r="E1" s="189"/>
      <c r="F1" s="63"/>
      <c r="G1" s="63"/>
      <c r="H1" s="189" t="s">
        <v>0</v>
      </c>
      <c r="I1" s="189"/>
      <c r="J1" s="189"/>
      <c r="K1" s="189"/>
    </row>
    <row r="2" spans="1:11" x14ac:dyDescent="0.3">
      <c r="B2" s="189" t="s">
        <v>1</v>
      </c>
      <c r="C2" s="189"/>
      <c r="D2" s="189"/>
      <c r="E2" s="189"/>
      <c r="F2" s="63"/>
      <c r="G2" s="63"/>
      <c r="H2" s="189" t="s">
        <v>1</v>
      </c>
      <c r="I2" s="189"/>
      <c r="J2" s="189"/>
      <c r="K2" s="189"/>
    </row>
    <row r="3" spans="1:11" x14ac:dyDescent="0.3">
      <c r="B3" s="189" t="s">
        <v>2</v>
      </c>
      <c r="C3" s="189"/>
      <c r="D3" s="189"/>
      <c r="E3" s="189"/>
      <c r="F3" s="63"/>
      <c r="G3" s="63"/>
      <c r="H3" s="189" t="s">
        <v>2</v>
      </c>
      <c r="I3" s="189"/>
      <c r="J3" s="189"/>
      <c r="K3" s="189"/>
    </row>
    <row r="5" spans="1:11" x14ac:dyDescent="0.3">
      <c r="B5" s="184" t="s">
        <v>47</v>
      </c>
      <c r="C5" s="184"/>
      <c r="D5" s="184"/>
      <c r="E5" s="184"/>
      <c r="F5" s="72"/>
      <c r="G5" s="35"/>
      <c r="H5" s="184" t="s">
        <v>48</v>
      </c>
      <c r="I5" s="184"/>
      <c r="J5" s="184"/>
      <c r="K5" s="184"/>
    </row>
    <row r="6" spans="1:11" ht="29.4" customHeight="1" x14ac:dyDescent="0.3">
      <c r="A6" s="92" t="s">
        <v>114</v>
      </c>
      <c r="B6" s="71" t="s">
        <v>3</v>
      </c>
      <c r="C6" s="71" t="s">
        <v>7</v>
      </c>
      <c r="D6" s="71" t="s">
        <v>8</v>
      </c>
      <c r="E6" s="87" t="s">
        <v>131</v>
      </c>
      <c r="F6" s="71"/>
      <c r="G6" s="92" t="s">
        <v>114</v>
      </c>
      <c r="H6" s="71" t="s">
        <v>3</v>
      </c>
      <c r="I6" s="71" t="s">
        <v>7</v>
      </c>
      <c r="J6" s="71" t="s">
        <v>8</v>
      </c>
      <c r="K6" s="87" t="s">
        <v>131</v>
      </c>
    </row>
    <row r="7" spans="1:11" x14ac:dyDescent="0.3">
      <c r="A7" s="93">
        <v>1</v>
      </c>
      <c r="B7" s="71"/>
      <c r="C7" s="91" t="e">
        <f>ROUND(C8/E22,5)</f>
        <v>#REF!</v>
      </c>
      <c r="D7" s="33">
        <v>3.5000000000000003E-2</v>
      </c>
      <c r="E7" s="71"/>
      <c r="F7" s="71"/>
      <c r="G7" s="93">
        <v>1</v>
      </c>
      <c r="H7" s="71"/>
      <c r="I7" s="71" t="e">
        <f>ROUND(I8/K22,5)</f>
        <v>#REF!</v>
      </c>
      <c r="J7" s="33">
        <f>D7</f>
        <v>3.5000000000000003E-2</v>
      </c>
      <c r="K7" s="71"/>
    </row>
    <row r="8" spans="1:11" x14ac:dyDescent="0.3">
      <c r="A8" s="93">
        <v>2</v>
      </c>
      <c r="B8" s="64">
        <v>42644</v>
      </c>
      <c r="C8" s="34" t="e">
        <f>C58</f>
        <v>#REF!</v>
      </c>
      <c r="D8" s="34"/>
      <c r="E8" s="35"/>
      <c r="F8" s="35"/>
      <c r="G8" s="93">
        <v>2</v>
      </c>
      <c r="H8" s="64">
        <v>42644</v>
      </c>
      <c r="I8" s="34" t="e">
        <f>I58</f>
        <v>#REF!</v>
      </c>
      <c r="J8" s="34"/>
      <c r="K8" s="35"/>
    </row>
    <row r="9" spans="1:11" x14ac:dyDescent="0.3">
      <c r="A9" s="93">
        <v>3</v>
      </c>
      <c r="B9" s="64">
        <v>42675</v>
      </c>
      <c r="C9" s="34" t="e">
        <f>C8-($C$7*E9)</f>
        <v>#REF!</v>
      </c>
      <c r="D9" s="34" t="e">
        <f>(C8+C9)/2*($D$7/12)</f>
        <v>#REF!</v>
      </c>
      <c r="E9" s="42" t="e">
        <f>'wp6 14 18 Forecast Usage by Sch'!#REF!</f>
        <v>#REF!</v>
      </c>
      <c r="F9" s="42"/>
      <c r="G9" s="93">
        <v>3</v>
      </c>
      <c r="H9" s="64">
        <v>42675</v>
      </c>
      <c r="I9" s="34" t="e">
        <f>I8-($I$7*K9)</f>
        <v>#REF!</v>
      </c>
      <c r="J9" s="34" t="e">
        <f>(I8+I9)/2*($J$7/12)</f>
        <v>#REF!</v>
      </c>
      <c r="K9" s="42" t="e">
        <f>'wp6 14 18 Forecast Usage by Sch'!#REF!</f>
        <v>#REF!</v>
      </c>
    </row>
    <row r="10" spans="1:11" x14ac:dyDescent="0.3">
      <c r="A10" s="93">
        <v>4</v>
      </c>
      <c r="B10" s="64">
        <v>42705</v>
      </c>
      <c r="C10" s="34" t="e">
        <f t="shared" ref="C10:C20" si="0">C9-($C$7*E10)</f>
        <v>#REF!</v>
      </c>
      <c r="D10" s="34" t="e">
        <f t="shared" ref="D10:D20" si="1">(C9+C10)/2*($D$7/12)</f>
        <v>#REF!</v>
      </c>
      <c r="E10" s="42" t="e">
        <f>'wp6 14 18 Forecast Usage by Sch'!#REF!</f>
        <v>#REF!</v>
      </c>
      <c r="F10" s="42"/>
      <c r="G10" s="93">
        <v>4</v>
      </c>
      <c r="H10" s="64">
        <v>42705</v>
      </c>
      <c r="I10" s="34" t="e">
        <f t="shared" ref="I10:I20" si="2">I9-($I$7*K10)</f>
        <v>#REF!</v>
      </c>
      <c r="J10" s="34" t="e">
        <f t="shared" ref="J10:J20" si="3">(I9+I10)/2*($J$7/12)</f>
        <v>#REF!</v>
      </c>
      <c r="K10" s="42" t="e">
        <f>'wp6 14 18 Forecast Usage by Sch'!#REF!</f>
        <v>#REF!</v>
      </c>
    </row>
    <row r="11" spans="1:11" x14ac:dyDescent="0.3">
      <c r="A11" s="93">
        <v>5</v>
      </c>
      <c r="B11" s="64">
        <v>42736</v>
      </c>
      <c r="C11" s="34" t="e">
        <f t="shared" si="0"/>
        <v>#REF!</v>
      </c>
      <c r="D11" s="34" t="e">
        <f t="shared" si="1"/>
        <v>#REF!</v>
      </c>
      <c r="E11" s="42" t="e">
        <f>'wp6 14 18 Forecast Usage by Sch'!#REF!</f>
        <v>#REF!</v>
      </c>
      <c r="F11" s="42"/>
      <c r="G11" s="93">
        <v>5</v>
      </c>
      <c r="H11" s="64">
        <v>42736</v>
      </c>
      <c r="I11" s="34" t="e">
        <f t="shared" si="2"/>
        <v>#REF!</v>
      </c>
      <c r="J11" s="34" t="e">
        <f t="shared" si="3"/>
        <v>#REF!</v>
      </c>
      <c r="K11" s="42" t="e">
        <f>'wp6 14 18 Forecast Usage by Sch'!#REF!</f>
        <v>#REF!</v>
      </c>
    </row>
    <row r="12" spans="1:11" x14ac:dyDescent="0.3">
      <c r="A12" s="93">
        <v>6</v>
      </c>
      <c r="B12" s="64">
        <v>42767</v>
      </c>
      <c r="C12" s="34" t="e">
        <f t="shared" si="0"/>
        <v>#REF!</v>
      </c>
      <c r="D12" s="34" t="e">
        <f t="shared" si="1"/>
        <v>#REF!</v>
      </c>
      <c r="E12" s="42" t="e">
        <f>'wp6 14 18 Forecast Usage by Sch'!#REF!</f>
        <v>#REF!</v>
      </c>
      <c r="F12" s="42"/>
      <c r="G12" s="93">
        <v>6</v>
      </c>
      <c r="H12" s="64">
        <v>42767</v>
      </c>
      <c r="I12" s="34" t="e">
        <f t="shared" si="2"/>
        <v>#REF!</v>
      </c>
      <c r="J12" s="34" t="e">
        <f t="shared" si="3"/>
        <v>#REF!</v>
      </c>
      <c r="K12" s="42" t="e">
        <f>'wp6 14 18 Forecast Usage by Sch'!#REF!</f>
        <v>#REF!</v>
      </c>
    </row>
    <row r="13" spans="1:11" x14ac:dyDescent="0.3">
      <c r="A13" s="93">
        <v>7</v>
      </c>
      <c r="B13" s="64">
        <v>42795</v>
      </c>
      <c r="C13" s="34" t="e">
        <f t="shared" si="0"/>
        <v>#REF!</v>
      </c>
      <c r="D13" s="34" t="e">
        <f t="shared" si="1"/>
        <v>#REF!</v>
      </c>
      <c r="E13" s="42" t="e">
        <f>'wp6 14 18 Forecast Usage by Sch'!#REF!</f>
        <v>#REF!</v>
      </c>
      <c r="F13" s="42"/>
      <c r="G13" s="93">
        <v>7</v>
      </c>
      <c r="H13" s="64">
        <v>42795</v>
      </c>
      <c r="I13" s="34" t="e">
        <f t="shared" si="2"/>
        <v>#REF!</v>
      </c>
      <c r="J13" s="34" t="e">
        <f t="shared" si="3"/>
        <v>#REF!</v>
      </c>
      <c r="K13" s="42" t="e">
        <f>'wp6 14 18 Forecast Usage by Sch'!#REF!</f>
        <v>#REF!</v>
      </c>
    </row>
    <row r="14" spans="1:11" x14ac:dyDescent="0.3">
      <c r="A14" s="93">
        <v>8</v>
      </c>
      <c r="B14" s="64">
        <v>42826</v>
      </c>
      <c r="C14" s="34" t="e">
        <f t="shared" si="0"/>
        <v>#REF!</v>
      </c>
      <c r="D14" s="34" t="e">
        <f t="shared" si="1"/>
        <v>#REF!</v>
      </c>
      <c r="E14" s="42" t="e">
        <f>'wp6 14 18 Forecast Usage by Sch'!#REF!</f>
        <v>#REF!</v>
      </c>
      <c r="F14" s="42"/>
      <c r="G14" s="93">
        <v>8</v>
      </c>
      <c r="H14" s="64">
        <v>42826</v>
      </c>
      <c r="I14" s="34" t="e">
        <f t="shared" si="2"/>
        <v>#REF!</v>
      </c>
      <c r="J14" s="34" t="e">
        <f t="shared" si="3"/>
        <v>#REF!</v>
      </c>
      <c r="K14" s="42" t="e">
        <f>'wp6 14 18 Forecast Usage by Sch'!#REF!</f>
        <v>#REF!</v>
      </c>
    </row>
    <row r="15" spans="1:11" x14ac:dyDescent="0.3">
      <c r="A15" s="93">
        <v>9</v>
      </c>
      <c r="B15" s="64">
        <v>42856</v>
      </c>
      <c r="C15" s="34" t="e">
        <f t="shared" si="0"/>
        <v>#REF!</v>
      </c>
      <c r="D15" s="34" t="e">
        <f t="shared" si="1"/>
        <v>#REF!</v>
      </c>
      <c r="E15" s="42" t="e">
        <f>'wp6 14 18 Forecast Usage by Sch'!#REF!</f>
        <v>#REF!</v>
      </c>
      <c r="F15" s="42"/>
      <c r="G15" s="93">
        <v>9</v>
      </c>
      <c r="H15" s="64">
        <v>42856</v>
      </c>
      <c r="I15" s="34" t="e">
        <f t="shared" si="2"/>
        <v>#REF!</v>
      </c>
      <c r="J15" s="34" t="e">
        <f t="shared" si="3"/>
        <v>#REF!</v>
      </c>
      <c r="K15" s="42" t="e">
        <f>'wp6 14 18 Forecast Usage by Sch'!#REF!</f>
        <v>#REF!</v>
      </c>
    </row>
    <row r="16" spans="1:11" x14ac:dyDescent="0.3">
      <c r="A16" s="93">
        <v>10</v>
      </c>
      <c r="B16" s="64">
        <v>42887</v>
      </c>
      <c r="C16" s="34" t="e">
        <f t="shared" si="0"/>
        <v>#REF!</v>
      </c>
      <c r="D16" s="34" t="e">
        <f t="shared" si="1"/>
        <v>#REF!</v>
      </c>
      <c r="E16" s="42" t="e">
        <f>'wp6 14 18 Forecast Usage by Sch'!#REF!</f>
        <v>#REF!</v>
      </c>
      <c r="F16" s="42"/>
      <c r="G16" s="93">
        <v>10</v>
      </c>
      <c r="H16" s="64">
        <v>42887</v>
      </c>
      <c r="I16" s="34" t="e">
        <f t="shared" si="2"/>
        <v>#REF!</v>
      </c>
      <c r="J16" s="34" t="e">
        <f t="shared" si="3"/>
        <v>#REF!</v>
      </c>
      <c r="K16" s="42" t="e">
        <f>'wp6 14 18 Forecast Usage by Sch'!#REF!</f>
        <v>#REF!</v>
      </c>
    </row>
    <row r="17" spans="1:11" x14ac:dyDescent="0.3">
      <c r="A17" s="93">
        <v>11</v>
      </c>
      <c r="B17" s="64">
        <v>42917</v>
      </c>
      <c r="C17" s="34" t="e">
        <f t="shared" si="0"/>
        <v>#REF!</v>
      </c>
      <c r="D17" s="34" t="e">
        <f t="shared" si="1"/>
        <v>#REF!</v>
      </c>
      <c r="E17" s="42" t="e">
        <f>'wp6 14 18 Forecast Usage by Sch'!#REF!</f>
        <v>#REF!</v>
      </c>
      <c r="F17" s="42"/>
      <c r="G17" s="93">
        <v>11</v>
      </c>
      <c r="H17" s="64">
        <v>42917</v>
      </c>
      <c r="I17" s="34" t="e">
        <f t="shared" si="2"/>
        <v>#REF!</v>
      </c>
      <c r="J17" s="34" t="e">
        <f t="shared" si="3"/>
        <v>#REF!</v>
      </c>
      <c r="K17" s="42" t="e">
        <f>'wp6 14 18 Forecast Usage by Sch'!#REF!</f>
        <v>#REF!</v>
      </c>
    </row>
    <row r="18" spans="1:11" x14ac:dyDescent="0.3">
      <c r="A18" s="93">
        <v>12</v>
      </c>
      <c r="B18" s="64">
        <v>42948</v>
      </c>
      <c r="C18" s="34" t="e">
        <f t="shared" si="0"/>
        <v>#REF!</v>
      </c>
      <c r="D18" s="34" t="e">
        <f t="shared" si="1"/>
        <v>#REF!</v>
      </c>
      <c r="E18" s="42" t="e">
        <f>'wp6 14 18 Forecast Usage by Sch'!#REF!</f>
        <v>#REF!</v>
      </c>
      <c r="F18" s="42"/>
      <c r="G18" s="93">
        <v>12</v>
      </c>
      <c r="H18" s="64">
        <v>42948</v>
      </c>
      <c r="I18" s="34" t="e">
        <f t="shared" si="2"/>
        <v>#REF!</v>
      </c>
      <c r="J18" s="34" t="e">
        <f t="shared" si="3"/>
        <v>#REF!</v>
      </c>
      <c r="K18" s="42" t="e">
        <f>'wp6 14 18 Forecast Usage by Sch'!#REF!</f>
        <v>#REF!</v>
      </c>
    </row>
    <row r="19" spans="1:11" x14ac:dyDescent="0.3">
      <c r="A19" s="93">
        <v>13</v>
      </c>
      <c r="B19" s="64">
        <v>42979</v>
      </c>
      <c r="C19" s="34" t="e">
        <f t="shared" si="0"/>
        <v>#REF!</v>
      </c>
      <c r="D19" s="34" t="e">
        <f t="shared" si="1"/>
        <v>#REF!</v>
      </c>
      <c r="E19" s="42" t="e">
        <f>'wp6 14 18 Forecast Usage by Sch'!#REF!</f>
        <v>#REF!</v>
      </c>
      <c r="F19" s="42"/>
      <c r="G19" s="93">
        <v>13</v>
      </c>
      <c r="H19" s="64">
        <v>42979</v>
      </c>
      <c r="I19" s="34" t="e">
        <f t="shared" si="2"/>
        <v>#REF!</v>
      </c>
      <c r="J19" s="34" t="e">
        <f t="shared" si="3"/>
        <v>#REF!</v>
      </c>
      <c r="K19" s="42" t="e">
        <f>'wp6 14 18 Forecast Usage by Sch'!#REF!</f>
        <v>#REF!</v>
      </c>
    </row>
    <row r="20" spans="1:11" x14ac:dyDescent="0.3">
      <c r="A20" s="93">
        <v>14</v>
      </c>
      <c r="B20" s="64">
        <v>43009</v>
      </c>
      <c r="C20" s="34" t="e">
        <f t="shared" si="0"/>
        <v>#REF!</v>
      </c>
      <c r="D20" s="34" t="e">
        <f t="shared" si="1"/>
        <v>#REF!</v>
      </c>
      <c r="E20" s="42" t="e">
        <f>'wp6 14 18 Forecast Usage by Sch'!#REF!</f>
        <v>#REF!</v>
      </c>
      <c r="F20" s="42"/>
      <c r="G20" s="93">
        <v>14</v>
      </c>
      <c r="H20" s="64">
        <v>43009</v>
      </c>
      <c r="I20" s="34" t="e">
        <f t="shared" si="2"/>
        <v>#REF!</v>
      </c>
      <c r="J20" s="34" t="e">
        <f t="shared" si="3"/>
        <v>#REF!</v>
      </c>
      <c r="K20" s="42" t="e">
        <f>'wp6 14 18 Forecast Usage by Sch'!#REF!</f>
        <v>#REF!</v>
      </c>
    </row>
    <row r="21" spans="1:11" x14ac:dyDescent="0.3">
      <c r="B21" s="35"/>
      <c r="C21" s="35"/>
      <c r="D21" s="35"/>
      <c r="E21" s="35"/>
      <c r="F21" s="35"/>
      <c r="G21" s="93"/>
      <c r="H21" s="35"/>
      <c r="I21" s="35"/>
      <c r="J21" s="35"/>
      <c r="K21" s="35"/>
    </row>
    <row r="22" spans="1:11" x14ac:dyDescent="0.3">
      <c r="A22" s="93">
        <v>15</v>
      </c>
      <c r="B22" s="35" t="s">
        <v>6</v>
      </c>
      <c r="C22" s="35"/>
      <c r="D22" s="34" t="e">
        <f>SUM(D9:D21)</f>
        <v>#REF!</v>
      </c>
      <c r="E22" s="43" t="e">
        <f>SUM(E9:E21)</f>
        <v>#REF!</v>
      </c>
      <c r="F22" s="43"/>
      <c r="G22" s="93">
        <v>15</v>
      </c>
      <c r="H22" s="35" t="s">
        <v>6</v>
      </c>
      <c r="I22" s="35"/>
      <c r="J22" s="34" t="e">
        <f>SUM(J9:J21)</f>
        <v>#REF!</v>
      </c>
      <c r="K22" s="43" t="e">
        <f>SUM(K9:K21)</f>
        <v>#REF!</v>
      </c>
    </row>
    <row r="23" spans="1:11" x14ac:dyDescent="0.3">
      <c r="B23" s="35"/>
      <c r="C23" s="35"/>
      <c r="D23" s="34"/>
      <c r="E23" s="43"/>
      <c r="F23" s="43"/>
      <c r="G23" s="93"/>
      <c r="H23" s="35"/>
      <c r="I23" s="35"/>
      <c r="J23" s="34"/>
      <c r="K23" s="43"/>
    </row>
    <row r="24" spans="1:11" ht="28.2" customHeight="1" x14ac:dyDescent="0.3">
      <c r="A24" s="93">
        <v>16</v>
      </c>
      <c r="B24" s="186" t="s">
        <v>10</v>
      </c>
      <c r="C24" s="186"/>
      <c r="D24" s="36" t="e">
        <f>ROUND(D22/E22,5)</f>
        <v>#REF!</v>
      </c>
      <c r="E24" s="43"/>
      <c r="F24" s="43"/>
      <c r="G24" s="93">
        <v>16</v>
      </c>
      <c r="H24" s="186" t="s">
        <v>10</v>
      </c>
      <c r="I24" s="186"/>
      <c r="J24" s="36" t="e">
        <f>ROUND(J22/K22,5)</f>
        <v>#REF!</v>
      </c>
      <c r="K24" s="43"/>
    </row>
    <row r="25" spans="1:11" ht="28.2" customHeight="1" x14ac:dyDescent="0.3">
      <c r="A25" s="93">
        <v>17</v>
      </c>
      <c r="B25" s="186" t="s">
        <v>11</v>
      </c>
      <c r="C25" s="186"/>
      <c r="D25" s="36" t="e">
        <f>C7</f>
        <v>#REF!</v>
      </c>
      <c r="E25" s="43"/>
      <c r="F25" s="43"/>
      <c r="G25" s="93">
        <v>17</v>
      </c>
      <c r="H25" s="186" t="s">
        <v>11</v>
      </c>
      <c r="I25" s="186"/>
      <c r="J25" s="36" t="e">
        <f>I7</f>
        <v>#REF!</v>
      </c>
      <c r="K25" s="43"/>
    </row>
    <row r="26" spans="1:11" ht="28.8" customHeight="1" x14ac:dyDescent="0.3">
      <c r="A26" s="93">
        <v>18</v>
      </c>
      <c r="B26" s="186" t="s">
        <v>12</v>
      </c>
      <c r="C26" s="186"/>
      <c r="D26" s="36" t="e">
        <f>D24+D25</f>
        <v>#REF!</v>
      </c>
      <c r="E26" s="44"/>
      <c r="F26" s="44"/>
      <c r="G26" s="93">
        <v>18</v>
      </c>
      <c r="H26" s="186" t="s">
        <v>12</v>
      </c>
      <c r="I26" s="186"/>
      <c r="J26" s="36" t="e">
        <f>J24+J25</f>
        <v>#REF!</v>
      </c>
      <c r="K26" s="44"/>
    </row>
    <row r="27" spans="1:11" ht="28.8" customHeight="1" x14ac:dyDescent="0.3">
      <c r="A27" s="93">
        <v>19</v>
      </c>
      <c r="B27" s="187" t="s">
        <v>13</v>
      </c>
      <c r="C27" s="187"/>
      <c r="D27" s="37" t="e">
        <f>'Conversion Factors'!#REF!</f>
        <v>#REF!</v>
      </c>
      <c r="E27" s="43"/>
      <c r="F27" s="43"/>
      <c r="G27" s="93">
        <v>19</v>
      </c>
      <c r="H27" s="187" t="s">
        <v>13</v>
      </c>
      <c r="I27" s="187"/>
      <c r="J27" s="37" t="e">
        <f>D27</f>
        <v>#REF!</v>
      </c>
      <c r="K27" s="43"/>
    </row>
    <row r="28" spans="1:11" ht="30" customHeight="1" x14ac:dyDescent="0.3">
      <c r="A28" s="93">
        <v>20</v>
      </c>
      <c r="B28" s="35" t="s">
        <v>89</v>
      </c>
      <c r="C28" s="35"/>
      <c r="D28" s="36" t="e">
        <f>ROUND(D26*D27,5)</f>
        <v>#REF!</v>
      </c>
      <c r="E28" s="43"/>
      <c r="F28" s="43"/>
      <c r="G28" s="93">
        <v>20</v>
      </c>
      <c r="H28" s="35" t="s">
        <v>89</v>
      </c>
      <c r="I28" s="35"/>
      <c r="J28" s="36" t="e">
        <f>ROUND(J26*J27,5)</f>
        <v>#REF!</v>
      </c>
      <c r="K28" s="43"/>
    </row>
    <row r="29" spans="1:11" ht="27.6" customHeight="1" x14ac:dyDescent="0.3">
      <c r="A29" s="93">
        <v>21</v>
      </c>
      <c r="B29" s="35" t="s">
        <v>77</v>
      </c>
      <c r="C29" s="35"/>
      <c r="D29" s="36" t="e">
        <f>'Earnings Test and 3% Test'!#REF!</f>
        <v>#REF!</v>
      </c>
      <c r="E29" s="43"/>
      <c r="F29" s="43"/>
      <c r="G29" s="93">
        <v>21</v>
      </c>
      <c r="H29" s="35" t="s">
        <v>77</v>
      </c>
      <c r="I29" s="35"/>
      <c r="J29" s="36" t="e">
        <f>'Earnings Test and 3% Test'!#REF!</f>
        <v>#REF!</v>
      </c>
      <c r="K29" s="43"/>
    </row>
    <row r="30" spans="1:11" ht="27.6" customHeight="1" x14ac:dyDescent="0.3">
      <c r="A30" s="93">
        <v>22</v>
      </c>
      <c r="B30" s="35" t="s">
        <v>78</v>
      </c>
      <c r="C30" s="35"/>
      <c r="D30" s="36" t="e">
        <f>D28+D29</f>
        <v>#REF!</v>
      </c>
      <c r="E30" s="43" t="s">
        <v>15</v>
      </c>
      <c r="F30" s="43"/>
      <c r="G30" s="93">
        <v>22</v>
      </c>
      <c r="H30" s="35" t="s">
        <v>78</v>
      </c>
      <c r="I30" s="35"/>
      <c r="J30" s="36" t="e">
        <f>J28+J29</f>
        <v>#REF!</v>
      </c>
      <c r="K30" s="43" t="s">
        <v>67</v>
      </c>
    </row>
    <row r="31" spans="1:11" ht="28.2" customHeight="1" x14ac:dyDescent="0.3">
      <c r="A31" s="93">
        <v>23</v>
      </c>
      <c r="B31" s="35"/>
      <c r="C31" s="39" t="s">
        <v>85</v>
      </c>
      <c r="D31" s="36" t="e">
        <f>ROUND(D30*'Conversion Factors'!$E$108,5)</f>
        <v>#REF!</v>
      </c>
      <c r="E31" s="43" t="s">
        <v>14</v>
      </c>
      <c r="F31" s="43"/>
      <c r="G31" s="93">
        <v>23</v>
      </c>
      <c r="H31" s="35"/>
      <c r="I31" s="39" t="s">
        <v>85</v>
      </c>
      <c r="J31" s="36" t="e">
        <f>ROUND(J30*'Conversion Factors'!$E$108,5)</f>
        <v>#REF!</v>
      </c>
      <c r="K31" s="43" t="s">
        <v>14</v>
      </c>
    </row>
    <row r="32" spans="1:11" ht="29.4" customHeight="1" x14ac:dyDescent="0.3">
      <c r="A32" s="93">
        <v>24</v>
      </c>
      <c r="B32" s="35" t="s">
        <v>88</v>
      </c>
      <c r="C32" s="35"/>
      <c r="D32" s="34" t="e">
        <f>IF(D29=0,0,C70)</f>
        <v>#REF!</v>
      </c>
      <c r="E32" s="43"/>
      <c r="F32" s="43"/>
      <c r="G32" s="93">
        <v>24</v>
      </c>
      <c r="H32" s="35" t="s">
        <v>88</v>
      </c>
      <c r="I32" s="35"/>
      <c r="J32" s="34" t="e">
        <f>IF(J29=0,0,I70)</f>
        <v>#REF!</v>
      </c>
      <c r="K32" s="43"/>
    </row>
    <row r="33" spans="1:11" ht="18" customHeight="1" x14ac:dyDescent="0.3">
      <c r="B33" s="35"/>
      <c r="C33" s="35"/>
      <c r="D33" s="45"/>
      <c r="E33" s="35"/>
      <c r="F33" s="35"/>
      <c r="G33" s="35"/>
      <c r="H33" s="187"/>
      <c r="I33" s="187"/>
      <c r="J33" s="45"/>
      <c r="K33" s="35"/>
    </row>
    <row r="34" spans="1:11" ht="16.2" customHeight="1" x14ac:dyDescent="0.3">
      <c r="A34" s="65" t="s">
        <v>80</v>
      </c>
      <c r="B34" s="65"/>
      <c r="C34" s="35"/>
      <c r="D34" s="45"/>
      <c r="E34" s="35"/>
      <c r="F34" s="35"/>
      <c r="G34" s="65" t="s">
        <v>80</v>
      </c>
      <c r="H34" s="65"/>
      <c r="I34" s="35"/>
      <c r="J34" s="45"/>
      <c r="K34" s="35"/>
    </row>
    <row r="35" spans="1:11" ht="46.8" customHeight="1" x14ac:dyDescent="0.3">
      <c r="A35" s="102" t="s">
        <v>122</v>
      </c>
      <c r="B35" s="185" t="e">
        <f>"Deferral balance at the end of the month, Rate of "&amp;TEXT(D25,"$0.00000")&amp;" to recover the October 2016 balance of "&amp;TEXT(C8,"$000,000")&amp;" over 12 months.  See page 2 of Attachment A for October 2016 balance calculation."</f>
        <v>#REF!</v>
      </c>
      <c r="C35" s="185"/>
      <c r="D35" s="185"/>
      <c r="E35" s="185"/>
      <c r="F35" s="35"/>
      <c r="G35" s="102" t="s">
        <v>122</v>
      </c>
      <c r="H35" s="185" t="e">
        <f>"Deferral balance at the end of the month, Rate of "&amp;TEXT(J25,"$0.00000")&amp;" to recover the October 2016 balance of "&amp;TEXT(I8,"$000,000")&amp;" over 12 months.  See page 4 of Attachment A for October 2016 balance calculation."</f>
        <v>#REF!</v>
      </c>
      <c r="I35" s="185"/>
      <c r="J35" s="185"/>
      <c r="K35" s="185"/>
    </row>
    <row r="36" spans="1:11" ht="32.4" customHeight="1" x14ac:dyDescent="0.3">
      <c r="A36" s="102" t="s">
        <v>123</v>
      </c>
      <c r="B36" s="185" t="s">
        <v>124</v>
      </c>
      <c r="C36" s="185"/>
      <c r="D36" s="185"/>
      <c r="E36" s="185"/>
      <c r="F36" s="35"/>
      <c r="G36" s="102" t="s">
        <v>123</v>
      </c>
      <c r="H36" s="185" t="s">
        <v>124</v>
      </c>
      <c r="I36" s="185"/>
      <c r="J36" s="185"/>
      <c r="K36" s="185"/>
    </row>
    <row r="37" spans="1:11" ht="15.6" customHeight="1" x14ac:dyDescent="0.3">
      <c r="B37" s="69" t="s">
        <v>86</v>
      </c>
      <c r="C37" s="70"/>
      <c r="D37" s="70"/>
      <c r="E37" s="70"/>
      <c r="F37" s="35"/>
      <c r="H37" s="69" t="s">
        <v>86</v>
      </c>
      <c r="I37" s="98"/>
      <c r="J37" s="98"/>
      <c r="K37" s="98"/>
    </row>
    <row r="38" spans="1:11" ht="18" customHeight="1" x14ac:dyDescent="0.3">
      <c r="A38" s="102" t="s">
        <v>125</v>
      </c>
      <c r="B38" s="182" t="s">
        <v>128</v>
      </c>
      <c r="C38" s="182"/>
      <c r="D38" s="182"/>
      <c r="E38" s="182"/>
      <c r="F38" s="35"/>
      <c r="G38" s="102" t="s">
        <v>125</v>
      </c>
      <c r="H38" s="182" t="s">
        <v>128</v>
      </c>
      <c r="I38" s="182"/>
      <c r="J38" s="182"/>
      <c r="K38" s="182"/>
    </row>
    <row r="39" spans="1:11" ht="18" customHeight="1" x14ac:dyDescent="0.3">
      <c r="A39" s="102" t="s">
        <v>126</v>
      </c>
      <c r="B39" s="182" t="s">
        <v>129</v>
      </c>
      <c r="C39" s="182"/>
      <c r="D39" s="182"/>
      <c r="E39" s="182"/>
      <c r="F39" s="35"/>
      <c r="G39" s="102" t="s">
        <v>126</v>
      </c>
      <c r="H39" s="182" t="s">
        <v>129</v>
      </c>
      <c r="I39" s="182"/>
      <c r="J39" s="182"/>
      <c r="K39" s="182"/>
    </row>
    <row r="40" spans="1:11" ht="18" customHeight="1" x14ac:dyDescent="0.3">
      <c r="A40" s="102" t="s">
        <v>127</v>
      </c>
      <c r="B40" s="182" t="s">
        <v>130</v>
      </c>
      <c r="C40" s="182"/>
      <c r="D40" s="182"/>
      <c r="E40" s="182"/>
      <c r="F40" s="35"/>
      <c r="G40" s="102" t="s">
        <v>127</v>
      </c>
      <c r="H40" s="182" t="s">
        <v>130</v>
      </c>
      <c r="I40" s="182"/>
      <c r="J40" s="182"/>
      <c r="K40" s="182"/>
    </row>
    <row r="41" spans="1:11" ht="14.4" customHeight="1" x14ac:dyDescent="0.3">
      <c r="B41" s="73"/>
      <c r="C41" s="73"/>
      <c r="D41" s="45"/>
      <c r="E41" s="35"/>
      <c r="F41" s="35"/>
      <c r="G41" s="35"/>
      <c r="H41" s="73"/>
      <c r="I41" s="73"/>
      <c r="J41" s="45"/>
      <c r="K41" s="35"/>
    </row>
    <row r="42" spans="1:11" ht="27.6" customHeight="1" x14ac:dyDescent="0.3">
      <c r="B42" s="190" t="str">
        <f>B5</f>
        <v>Residential Electric</v>
      </c>
      <c r="C42" s="190"/>
      <c r="D42" s="190"/>
      <c r="E42" s="190"/>
      <c r="F42" s="71"/>
      <c r="G42" s="35"/>
      <c r="H42" s="190" t="str">
        <f>H5</f>
        <v>Non-Residential Electric</v>
      </c>
      <c r="I42" s="190"/>
      <c r="J42" s="190"/>
      <c r="K42" s="190"/>
    </row>
    <row r="43" spans="1:11" x14ac:dyDescent="0.3">
      <c r="B43" s="184" t="s">
        <v>82</v>
      </c>
      <c r="C43" s="184"/>
      <c r="D43" s="184"/>
      <c r="E43" s="184"/>
      <c r="F43" s="35"/>
      <c r="G43" s="35"/>
      <c r="H43" s="184" t="s">
        <v>82</v>
      </c>
      <c r="I43" s="184"/>
      <c r="J43" s="184"/>
      <c r="K43" s="184"/>
    </row>
    <row r="44" spans="1:11" ht="27.6" customHeight="1" x14ac:dyDescent="0.3">
      <c r="A44" s="94" t="s">
        <v>114</v>
      </c>
      <c r="B44" s="35"/>
      <c r="C44" s="71" t="s">
        <v>9</v>
      </c>
      <c r="D44" s="71" t="s">
        <v>4</v>
      </c>
      <c r="E44" s="72" t="s">
        <v>84</v>
      </c>
      <c r="F44" s="35"/>
      <c r="G44" s="94" t="s">
        <v>114</v>
      </c>
      <c r="H44" s="35"/>
      <c r="I44" s="71" t="s">
        <v>9</v>
      </c>
      <c r="J44" s="71" t="s">
        <v>4</v>
      </c>
      <c r="K44" s="74" t="s">
        <v>84</v>
      </c>
    </row>
    <row r="45" spans="1:11" ht="43.2" x14ac:dyDescent="0.3">
      <c r="B45" s="35"/>
      <c r="C45" s="35"/>
      <c r="D45" s="68" t="s">
        <v>112</v>
      </c>
      <c r="E45" s="35"/>
      <c r="F45" s="35"/>
      <c r="G45" s="35"/>
      <c r="H45" s="35"/>
      <c r="I45" s="35"/>
      <c r="J45" s="68" t="str">
        <f>D45</f>
        <v>3.25% Q1 2016 3.46% Q2 2016  3.50% Q3 2016</v>
      </c>
      <c r="K45" s="35"/>
    </row>
    <row r="46" spans="1:11" x14ac:dyDescent="0.3">
      <c r="A46" s="95">
        <v>1</v>
      </c>
      <c r="B46" s="64">
        <v>42339</v>
      </c>
      <c r="C46" s="34">
        <v>7167748</v>
      </c>
      <c r="D46" s="35"/>
      <c r="E46" s="35"/>
      <c r="F46" s="35"/>
      <c r="G46" s="95">
        <v>1</v>
      </c>
      <c r="H46" s="64">
        <v>42339</v>
      </c>
      <c r="I46" s="34">
        <v>-2373472</v>
      </c>
      <c r="J46" s="35"/>
      <c r="K46" s="35"/>
    </row>
    <row r="47" spans="1:11" x14ac:dyDescent="0.3">
      <c r="A47" s="95">
        <v>2</v>
      </c>
      <c r="B47" s="64" t="s">
        <v>93</v>
      </c>
      <c r="C47" s="34" t="e">
        <f>-'Earnings Test and 3% Test'!#REF!</f>
        <v>#REF!</v>
      </c>
      <c r="D47" s="35"/>
      <c r="E47" s="35"/>
      <c r="F47" s="35"/>
      <c r="G47" s="95">
        <v>2</v>
      </c>
      <c r="H47" s="64" t="s">
        <v>93</v>
      </c>
      <c r="I47" s="34" t="e">
        <f>-'Earnings Test and 3% Test'!#REF!</f>
        <v>#REF!</v>
      </c>
      <c r="J47" s="35"/>
      <c r="K47" s="35"/>
    </row>
    <row r="48" spans="1:11" x14ac:dyDescent="0.3">
      <c r="A48" s="95">
        <v>3</v>
      </c>
      <c r="B48" s="64" t="s">
        <v>94</v>
      </c>
      <c r="C48" s="34" t="e">
        <f>C46+C47</f>
        <v>#REF!</v>
      </c>
      <c r="D48" s="35"/>
      <c r="E48" s="35"/>
      <c r="F48" s="35"/>
      <c r="G48" s="95">
        <v>3</v>
      </c>
      <c r="H48" s="64" t="s">
        <v>94</v>
      </c>
      <c r="I48" s="34" t="e">
        <f>I46+I47</f>
        <v>#REF!</v>
      </c>
      <c r="J48" s="35"/>
      <c r="K48" s="35"/>
    </row>
    <row r="49" spans="1:11" x14ac:dyDescent="0.3">
      <c r="A49" s="95">
        <v>4</v>
      </c>
      <c r="B49" s="64">
        <v>42370</v>
      </c>
      <c r="C49" s="34" t="e">
        <f>C48+D49-E49</f>
        <v>#REF!</v>
      </c>
      <c r="D49" s="34" t="e">
        <f>(C48-E49/2)*0.0325/12</f>
        <v>#REF!</v>
      </c>
      <c r="E49" s="35"/>
      <c r="F49" s="35"/>
      <c r="G49" s="95">
        <v>4</v>
      </c>
      <c r="H49" s="64">
        <v>42370</v>
      </c>
      <c r="I49" s="34" t="e">
        <f>I48+J49-K49</f>
        <v>#REF!</v>
      </c>
      <c r="J49" s="34" t="e">
        <f>(I48-K49/2)*0.0325/12</f>
        <v>#REF!</v>
      </c>
      <c r="K49" s="35"/>
    </row>
    <row r="50" spans="1:11" x14ac:dyDescent="0.3">
      <c r="A50" s="95">
        <v>5</v>
      </c>
      <c r="B50" s="64">
        <v>42401</v>
      </c>
      <c r="C50" s="34" t="e">
        <f t="shared" ref="C50:C58" si="4">C49+D50-E50</f>
        <v>#REF!</v>
      </c>
      <c r="D50" s="34" t="e">
        <f>(C49-E50/2)*0.0325/12</f>
        <v>#REF!</v>
      </c>
      <c r="E50" s="35"/>
      <c r="F50" s="35"/>
      <c r="G50" s="95">
        <v>5</v>
      </c>
      <c r="H50" s="64">
        <v>42401</v>
      </c>
      <c r="I50" s="34" t="e">
        <f t="shared" ref="I50:I58" si="5">I49+J50-K50</f>
        <v>#REF!</v>
      </c>
      <c r="J50" s="34" t="e">
        <f t="shared" ref="J50:J51" si="6">(I49-K50/2)*0.0325/12</f>
        <v>#REF!</v>
      </c>
      <c r="K50" s="35"/>
    </row>
    <row r="51" spans="1:11" x14ac:dyDescent="0.3">
      <c r="A51" s="95">
        <v>6</v>
      </c>
      <c r="B51" s="64">
        <v>42430</v>
      </c>
      <c r="C51" s="34" t="e">
        <f t="shared" si="4"/>
        <v>#REF!</v>
      </c>
      <c r="D51" s="34" t="e">
        <f t="shared" ref="D51" si="7">(C50-E51/2)*0.0325/12</f>
        <v>#REF!</v>
      </c>
      <c r="E51" s="35"/>
      <c r="F51" s="35"/>
      <c r="G51" s="95">
        <v>6</v>
      </c>
      <c r="H51" s="64">
        <v>42430</v>
      </c>
      <c r="I51" s="34" t="e">
        <f t="shared" si="5"/>
        <v>#REF!</v>
      </c>
      <c r="J51" s="34" t="e">
        <f t="shared" si="6"/>
        <v>#REF!</v>
      </c>
      <c r="K51" s="35"/>
    </row>
    <row r="52" spans="1:11" x14ac:dyDescent="0.3">
      <c r="A52" s="95">
        <v>7</v>
      </c>
      <c r="B52" s="64">
        <v>42461</v>
      </c>
      <c r="C52" s="34" t="e">
        <f t="shared" si="4"/>
        <v>#REF!</v>
      </c>
      <c r="D52" s="34" t="e">
        <f>(C51-E52/2)*0.0346/12</f>
        <v>#REF!</v>
      </c>
      <c r="E52" s="35"/>
      <c r="F52" s="35"/>
      <c r="G52" s="95">
        <v>7</v>
      </c>
      <c r="H52" s="64">
        <v>42461</v>
      </c>
      <c r="I52" s="34" t="e">
        <f t="shared" si="5"/>
        <v>#REF!</v>
      </c>
      <c r="J52" s="34" t="e">
        <f>(I51-K52/2)*0.0346/12</f>
        <v>#REF!</v>
      </c>
      <c r="K52" s="35"/>
    </row>
    <row r="53" spans="1:11" x14ac:dyDescent="0.3">
      <c r="A53" s="95">
        <v>8</v>
      </c>
      <c r="B53" s="64">
        <v>42491</v>
      </c>
      <c r="C53" s="34" t="e">
        <f t="shared" si="4"/>
        <v>#REF!</v>
      </c>
      <c r="D53" s="34" t="e">
        <f t="shared" ref="D53:D54" si="8">(C52-E53/2)*0.0346/12</f>
        <v>#REF!</v>
      </c>
      <c r="E53" s="35"/>
      <c r="F53" s="35"/>
      <c r="G53" s="95">
        <v>8</v>
      </c>
      <c r="H53" s="64">
        <v>42491</v>
      </c>
      <c r="I53" s="34" t="e">
        <f t="shared" si="5"/>
        <v>#REF!</v>
      </c>
      <c r="J53" s="34" t="e">
        <f t="shared" ref="J53:J54" si="9">(I52-K53/2)*0.0346/12</f>
        <v>#REF!</v>
      </c>
      <c r="K53" s="35"/>
    </row>
    <row r="54" spans="1:11" x14ac:dyDescent="0.3">
      <c r="A54" s="95">
        <v>9</v>
      </c>
      <c r="B54" s="64">
        <v>42522</v>
      </c>
      <c r="C54" s="34" t="e">
        <f t="shared" si="4"/>
        <v>#REF!</v>
      </c>
      <c r="D54" s="34" t="e">
        <f t="shared" si="8"/>
        <v>#REF!</v>
      </c>
      <c r="E54" s="35"/>
      <c r="F54" s="35"/>
      <c r="G54" s="95">
        <v>9</v>
      </c>
      <c r="H54" s="64">
        <v>42522</v>
      </c>
      <c r="I54" s="34" t="e">
        <f t="shared" si="5"/>
        <v>#REF!</v>
      </c>
      <c r="J54" s="34" t="e">
        <f t="shared" si="9"/>
        <v>#REF!</v>
      </c>
      <c r="K54" s="35"/>
    </row>
    <row r="55" spans="1:11" x14ac:dyDescent="0.3">
      <c r="A55" s="95">
        <v>10</v>
      </c>
      <c r="B55" s="64">
        <v>42552</v>
      </c>
      <c r="C55" s="34" t="e">
        <f t="shared" si="4"/>
        <v>#REF!</v>
      </c>
      <c r="D55" s="34" t="e">
        <f>(C54-E55/2)*0.035/12</f>
        <v>#REF!</v>
      </c>
      <c r="E55" s="35"/>
      <c r="F55" s="35"/>
      <c r="G55" s="95">
        <v>10</v>
      </c>
      <c r="H55" s="64">
        <v>42552</v>
      </c>
      <c r="I55" s="34" t="e">
        <f t="shared" si="5"/>
        <v>#REF!</v>
      </c>
      <c r="J55" s="34" t="e">
        <f>(I54-K55/2)*0.035/12</f>
        <v>#REF!</v>
      </c>
      <c r="K55" s="35"/>
    </row>
    <row r="56" spans="1:11" x14ac:dyDescent="0.3">
      <c r="A56" s="95">
        <v>11</v>
      </c>
      <c r="B56" s="64">
        <v>42583</v>
      </c>
      <c r="C56" s="34" t="e">
        <f t="shared" si="4"/>
        <v>#REF!</v>
      </c>
      <c r="D56" s="34" t="e">
        <f t="shared" ref="D56:D70" si="10">(C55-E56/2)*0.035/12</f>
        <v>#REF!</v>
      </c>
      <c r="E56" s="35"/>
      <c r="F56" s="35"/>
      <c r="G56" s="95">
        <v>11</v>
      </c>
      <c r="H56" s="64">
        <v>42583</v>
      </c>
      <c r="I56" s="34" t="e">
        <f t="shared" si="5"/>
        <v>#REF!</v>
      </c>
      <c r="J56" s="34" t="e">
        <f t="shared" ref="J56:J70" si="11">(I55-K56/2)*0.035/12</f>
        <v>#REF!</v>
      </c>
      <c r="K56" s="35"/>
    </row>
    <row r="57" spans="1:11" x14ac:dyDescent="0.3">
      <c r="A57" s="95">
        <v>12</v>
      </c>
      <c r="B57" s="64">
        <v>42614</v>
      </c>
      <c r="C57" s="34" t="e">
        <f t="shared" si="4"/>
        <v>#REF!</v>
      </c>
      <c r="D57" s="34" t="e">
        <f t="shared" si="10"/>
        <v>#REF!</v>
      </c>
      <c r="E57" s="35"/>
      <c r="F57" s="35"/>
      <c r="G57" s="95">
        <v>12</v>
      </c>
      <c r="H57" s="64">
        <v>42614</v>
      </c>
      <c r="I57" s="34" t="e">
        <f t="shared" si="5"/>
        <v>#REF!</v>
      </c>
      <c r="J57" s="34" t="e">
        <f t="shared" si="11"/>
        <v>#REF!</v>
      </c>
      <c r="K57" s="35"/>
    </row>
    <row r="58" spans="1:11" x14ac:dyDescent="0.3">
      <c r="A58" s="95">
        <v>13</v>
      </c>
      <c r="B58" s="66">
        <v>42644</v>
      </c>
      <c r="C58" s="67" t="e">
        <f t="shared" si="4"/>
        <v>#REF!</v>
      </c>
      <c r="D58" s="34" t="e">
        <f t="shared" si="10"/>
        <v>#REF!</v>
      </c>
      <c r="E58" s="35"/>
      <c r="F58" s="35"/>
      <c r="G58" s="95">
        <v>13</v>
      </c>
      <c r="H58" s="66">
        <v>42644</v>
      </c>
      <c r="I58" s="67" t="e">
        <f t="shared" si="5"/>
        <v>#REF!</v>
      </c>
      <c r="J58" s="34" t="e">
        <f t="shared" si="11"/>
        <v>#REF!</v>
      </c>
      <c r="K58" s="35"/>
    </row>
    <row r="59" spans="1:11" x14ac:dyDescent="0.3">
      <c r="A59" s="95">
        <v>14</v>
      </c>
      <c r="B59" s="64">
        <v>42675</v>
      </c>
      <c r="C59" s="34" t="e">
        <f>C58+D59-E59</f>
        <v>#REF!</v>
      </c>
      <c r="D59" s="34" t="e">
        <f t="shared" si="10"/>
        <v>#REF!</v>
      </c>
      <c r="E59" s="34" t="e">
        <f t="shared" ref="E59:E70" si="12">E9*D$31</f>
        <v>#REF!</v>
      </c>
      <c r="F59" s="35"/>
      <c r="G59" s="95">
        <v>14</v>
      </c>
      <c r="H59" s="64">
        <v>42675</v>
      </c>
      <c r="I59" s="34" t="e">
        <f>I58+J59-K59</f>
        <v>#REF!</v>
      </c>
      <c r="J59" s="34" t="e">
        <f t="shared" si="11"/>
        <v>#REF!</v>
      </c>
      <c r="K59" s="34" t="e">
        <f>K9*J$31</f>
        <v>#REF!</v>
      </c>
    </row>
    <row r="60" spans="1:11" x14ac:dyDescent="0.3">
      <c r="A60" s="95">
        <v>15</v>
      </c>
      <c r="B60" s="64">
        <v>42705</v>
      </c>
      <c r="C60" s="34" t="e">
        <f t="shared" ref="C60:C70" si="13">C59+D60-E60</f>
        <v>#REF!</v>
      </c>
      <c r="D60" s="34" t="e">
        <f t="shared" si="10"/>
        <v>#REF!</v>
      </c>
      <c r="E60" s="34" t="e">
        <f t="shared" si="12"/>
        <v>#REF!</v>
      </c>
      <c r="G60" s="95">
        <v>15</v>
      </c>
      <c r="H60" s="64">
        <v>42705</v>
      </c>
      <c r="I60" s="34" t="e">
        <f t="shared" ref="I60:I70" si="14">I59+J60-K60</f>
        <v>#REF!</v>
      </c>
      <c r="J60" s="34" t="e">
        <f t="shared" si="11"/>
        <v>#REF!</v>
      </c>
      <c r="K60" s="34" t="e">
        <f t="shared" ref="K60:K70" si="15">K10*J$31</f>
        <v>#REF!</v>
      </c>
    </row>
    <row r="61" spans="1:11" ht="14.4" customHeight="1" x14ac:dyDescent="0.3">
      <c r="A61" s="95">
        <v>16</v>
      </c>
      <c r="B61" s="64">
        <v>42736</v>
      </c>
      <c r="C61" s="34" t="e">
        <f t="shared" si="13"/>
        <v>#REF!</v>
      </c>
      <c r="D61" s="34" t="e">
        <f t="shared" si="10"/>
        <v>#REF!</v>
      </c>
      <c r="E61" s="34" t="e">
        <f t="shared" si="12"/>
        <v>#REF!</v>
      </c>
      <c r="G61" s="95">
        <v>16</v>
      </c>
      <c r="H61" s="64">
        <v>42736</v>
      </c>
      <c r="I61" s="34" t="e">
        <f t="shared" si="14"/>
        <v>#REF!</v>
      </c>
      <c r="J61" s="34" t="e">
        <f t="shared" si="11"/>
        <v>#REF!</v>
      </c>
      <c r="K61" s="34" t="e">
        <f t="shared" si="15"/>
        <v>#REF!</v>
      </c>
    </row>
    <row r="62" spans="1:11" x14ac:dyDescent="0.3">
      <c r="A62" s="95">
        <v>17</v>
      </c>
      <c r="B62" s="64">
        <v>42767</v>
      </c>
      <c r="C62" s="34" t="e">
        <f t="shared" si="13"/>
        <v>#REF!</v>
      </c>
      <c r="D62" s="34" t="e">
        <f t="shared" si="10"/>
        <v>#REF!</v>
      </c>
      <c r="E62" s="34" t="e">
        <f t="shared" si="12"/>
        <v>#REF!</v>
      </c>
      <c r="G62" s="95">
        <v>17</v>
      </c>
      <c r="H62" s="64">
        <v>42767</v>
      </c>
      <c r="I62" s="34" t="e">
        <f t="shared" si="14"/>
        <v>#REF!</v>
      </c>
      <c r="J62" s="34" t="e">
        <f t="shared" si="11"/>
        <v>#REF!</v>
      </c>
      <c r="K62" s="34" t="e">
        <f t="shared" si="15"/>
        <v>#REF!</v>
      </c>
    </row>
    <row r="63" spans="1:11" x14ac:dyDescent="0.3">
      <c r="A63" s="95">
        <v>18</v>
      </c>
      <c r="B63" s="64">
        <v>42795</v>
      </c>
      <c r="C63" s="34" t="e">
        <f t="shared" si="13"/>
        <v>#REF!</v>
      </c>
      <c r="D63" s="34" t="e">
        <f t="shared" si="10"/>
        <v>#REF!</v>
      </c>
      <c r="E63" s="34" t="e">
        <f t="shared" si="12"/>
        <v>#REF!</v>
      </c>
      <c r="G63" s="95">
        <v>18</v>
      </c>
      <c r="H63" s="64">
        <v>42795</v>
      </c>
      <c r="I63" s="34" t="e">
        <f t="shared" si="14"/>
        <v>#REF!</v>
      </c>
      <c r="J63" s="34" t="e">
        <f t="shared" si="11"/>
        <v>#REF!</v>
      </c>
      <c r="K63" s="34" t="e">
        <f t="shared" si="15"/>
        <v>#REF!</v>
      </c>
    </row>
    <row r="64" spans="1:11" x14ac:dyDescent="0.3">
      <c r="A64" s="95">
        <v>19</v>
      </c>
      <c r="B64" s="64">
        <v>42826</v>
      </c>
      <c r="C64" s="34" t="e">
        <f t="shared" si="13"/>
        <v>#REF!</v>
      </c>
      <c r="D64" s="34" t="e">
        <f t="shared" si="10"/>
        <v>#REF!</v>
      </c>
      <c r="E64" s="34" t="e">
        <f t="shared" si="12"/>
        <v>#REF!</v>
      </c>
      <c r="G64" s="95">
        <v>19</v>
      </c>
      <c r="H64" s="64">
        <v>42826</v>
      </c>
      <c r="I64" s="34" t="e">
        <f t="shared" si="14"/>
        <v>#REF!</v>
      </c>
      <c r="J64" s="34" t="e">
        <f t="shared" si="11"/>
        <v>#REF!</v>
      </c>
      <c r="K64" s="34" t="e">
        <f t="shared" si="15"/>
        <v>#REF!</v>
      </c>
    </row>
    <row r="65" spans="1:11" x14ac:dyDescent="0.3">
      <c r="A65" s="95">
        <v>20</v>
      </c>
      <c r="B65" s="64">
        <v>42856</v>
      </c>
      <c r="C65" s="34" t="e">
        <f t="shared" si="13"/>
        <v>#REF!</v>
      </c>
      <c r="D65" s="34" t="e">
        <f t="shared" si="10"/>
        <v>#REF!</v>
      </c>
      <c r="E65" s="34" t="e">
        <f t="shared" si="12"/>
        <v>#REF!</v>
      </c>
      <c r="G65" s="95">
        <v>20</v>
      </c>
      <c r="H65" s="64">
        <v>42856</v>
      </c>
      <c r="I65" s="34" t="e">
        <f t="shared" si="14"/>
        <v>#REF!</v>
      </c>
      <c r="J65" s="34" t="e">
        <f t="shared" si="11"/>
        <v>#REF!</v>
      </c>
      <c r="K65" s="34" t="e">
        <f t="shared" si="15"/>
        <v>#REF!</v>
      </c>
    </row>
    <row r="66" spans="1:11" x14ac:dyDescent="0.3">
      <c r="A66" s="95">
        <v>21</v>
      </c>
      <c r="B66" s="64">
        <v>42887</v>
      </c>
      <c r="C66" s="34" t="e">
        <f t="shared" si="13"/>
        <v>#REF!</v>
      </c>
      <c r="D66" s="34" t="e">
        <f t="shared" si="10"/>
        <v>#REF!</v>
      </c>
      <c r="E66" s="34" t="e">
        <f t="shared" si="12"/>
        <v>#REF!</v>
      </c>
      <c r="G66" s="95">
        <v>21</v>
      </c>
      <c r="H66" s="64">
        <v>42887</v>
      </c>
      <c r="I66" s="34" t="e">
        <f t="shared" si="14"/>
        <v>#REF!</v>
      </c>
      <c r="J66" s="34" t="e">
        <f t="shared" si="11"/>
        <v>#REF!</v>
      </c>
      <c r="K66" s="34" t="e">
        <f t="shared" si="15"/>
        <v>#REF!</v>
      </c>
    </row>
    <row r="67" spans="1:11" x14ac:dyDescent="0.3">
      <c r="A67" s="95">
        <v>22</v>
      </c>
      <c r="B67" s="64">
        <v>42917</v>
      </c>
      <c r="C67" s="34" t="e">
        <f t="shared" si="13"/>
        <v>#REF!</v>
      </c>
      <c r="D67" s="34" t="e">
        <f t="shared" si="10"/>
        <v>#REF!</v>
      </c>
      <c r="E67" s="34" t="e">
        <f t="shared" si="12"/>
        <v>#REF!</v>
      </c>
      <c r="G67" s="95">
        <v>22</v>
      </c>
      <c r="H67" s="64">
        <v>42917</v>
      </c>
      <c r="I67" s="34" t="e">
        <f t="shared" si="14"/>
        <v>#REF!</v>
      </c>
      <c r="J67" s="34" t="e">
        <f t="shared" si="11"/>
        <v>#REF!</v>
      </c>
      <c r="K67" s="34" t="e">
        <f t="shared" si="15"/>
        <v>#REF!</v>
      </c>
    </row>
    <row r="68" spans="1:11" x14ac:dyDescent="0.3">
      <c r="A68" s="95">
        <v>23</v>
      </c>
      <c r="B68" s="64">
        <v>42948</v>
      </c>
      <c r="C68" s="34" t="e">
        <f t="shared" si="13"/>
        <v>#REF!</v>
      </c>
      <c r="D68" s="34" t="e">
        <f t="shared" si="10"/>
        <v>#REF!</v>
      </c>
      <c r="E68" s="34" t="e">
        <f t="shared" si="12"/>
        <v>#REF!</v>
      </c>
      <c r="G68" s="95">
        <v>23</v>
      </c>
      <c r="H68" s="64">
        <v>42948</v>
      </c>
      <c r="I68" s="34" t="e">
        <f t="shared" si="14"/>
        <v>#REF!</v>
      </c>
      <c r="J68" s="34" t="e">
        <f t="shared" si="11"/>
        <v>#REF!</v>
      </c>
      <c r="K68" s="34" t="e">
        <f t="shared" si="15"/>
        <v>#REF!</v>
      </c>
    </row>
    <row r="69" spans="1:11" x14ac:dyDescent="0.3">
      <c r="A69" s="95">
        <v>24</v>
      </c>
      <c r="B69" s="64">
        <v>42979</v>
      </c>
      <c r="C69" s="34" t="e">
        <f t="shared" si="13"/>
        <v>#REF!</v>
      </c>
      <c r="D69" s="34" t="e">
        <f t="shared" si="10"/>
        <v>#REF!</v>
      </c>
      <c r="E69" s="34" t="e">
        <f t="shared" si="12"/>
        <v>#REF!</v>
      </c>
      <c r="G69" s="95">
        <v>24</v>
      </c>
      <c r="H69" s="64">
        <v>42979</v>
      </c>
      <c r="I69" s="34" t="e">
        <f t="shared" si="14"/>
        <v>#REF!</v>
      </c>
      <c r="J69" s="34" t="e">
        <f t="shared" si="11"/>
        <v>#REF!</v>
      </c>
      <c r="K69" s="34" t="e">
        <f t="shared" si="15"/>
        <v>#REF!</v>
      </c>
    </row>
    <row r="70" spans="1:11" x14ac:dyDescent="0.3">
      <c r="A70" s="95">
        <v>25</v>
      </c>
      <c r="B70" s="66">
        <v>43009</v>
      </c>
      <c r="C70" s="67" t="e">
        <f t="shared" si="13"/>
        <v>#REF!</v>
      </c>
      <c r="D70" s="34" t="e">
        <f t="shared" si="10"/>
        <v>#REF!</v>
      </c>
      <c r="E70" s="34" t="e">
        <f t="shared" si="12"/>
        <v>#REF!</v>
      </c>
      <c r="G70" s="95">
        <v>25</v>
      </c>
      <c r="H70" s="66">
        <v>43009</v>
      </c>
      <c r="I70" s="67" t="e">
        <f t="shared" si="14"/>
        <v>#REF!</v>
      </c>
      <c r="J70" s="34" t="e">
        <f t="shared" si="11"/>
        <v>#REF!</v>
      </c>
      <c r="K70" s="34" t="e">
        <f t="shared" si="15"/>
        <v>#REF!</v>
      </c>
    </row>
    <row r="71" spans="1:11" x14ac:dyDescent="0.3">
      <c r="B71" s="35"/>
      <c r="C71" s="35"/>
      <c r="D71" s="35"/>
      <c r="E71" s="35"/>
    </row>
    <row r="72" spans="1:11" x14ac:dyDescent="0.3">
      <c r="A72" s="99">
        <v>26</v>
      </c>
      <c r="B72" s="39" t="s">
        <v>115</v>
      </c>
      <c r="C72" s="35"/>
      <c r="D72" s="34" t="e">
        <f>SUM(D49:D71)</f>
        <v>#REF!</v>
      </c>
      <c r="E72" s="34" t="e">
        <f>SUM(E59:E70)</f>
        <v>#REF!</v>
      </c>
      <c r="G72" s="99">
        <v>26</v>
      </c>
      <c r="H72" s="39" t="s">
        <v>115</v>
      </c>
      <c r="I72" s="35"/>
      <c r="J72" s="34" t="e">
        <f>SUM(J49:J71)</f>
        <v>#REF!</v>
      </c>
      <c r="K72" s="34" t="e">
        <f>SUM(K59:K70)</f>
        <v>#REF!</v>
      </c>
    </row>
    <row r="73" spans="1:11" x14ac:dyDescent="0.3">
      <c r="A73" s="99"/>
      <c r="B73" s="39"/>
      <c r="C73" s="35"/>
      <c r="D73" s="34"/>
      <c r="E73" s="34"/>
      <c r="G73" s="99"/>
      <c r="H73" s="39"/>
      <c r="I73" s="35"/>
      <c r="J73" s="34"/>
      <c r="K73" s="34"/>
    </row>
    <row r="74" spans="1:11" x14ac:dyDescent="0.3">
      <c r="B74" s="54" t="s">
        <v>121</v>
      </c>
      <c r="H74" s="54" t="s">
        <v>120</v>
      </c>
    </row>
    <row r="75" spans="1:11" x14ac:dyDescent="0.3">
      <c r="A75" s="99">
        <v>27</v>
      </c>
      <c r="B75" t="s">
        <v>116</v>
      </c>
      <c r="C75" s="100">
        <f>C46</f>
        <v>7167748</v>
      </c>
      <c r="G75" s="99">
        <v>27</v>
      </c>
      <c r="H75" t="s">
        <v>116</v>
      </c>
      <c r="I75" s="100">
        <f>I46</f>
        <v>-2373472</v>
      </c>
    </row>
    <row r="76" spans="1:11" x14ac:dyDescent="0.3">
      <c r="A76" s="99">
        <v>28</v>
      </c>
      <c r="B76" t="s">
        <v>117</v>
      </c>
      <c r="C76" s="100" t="e">
        <f>C47</f>
        <v>#REF!</v>
      </c>
      <c r="G76" s="99">
        <v>28</v>
      </c>
      <c r="H76" t="s">
        <v>117</v>
      </c>
      <c r="I76" s="100" t="e">
        <f>I47</f>
        <v>#REF!</v>
      </c>
    </row>
    <row r="77" spans="1:11" x14ac:dyDescent="0.3">
      <c r="A77" s="99">
        <v>29</v>
      </c>
      <c r="B77" t="s">
        <v>132</v>
      </c>
      <c r="C77" s="100" t="e">
        <f>D72</f>
        <v>#REF!</v>
      </c>
      <c r="G77" s="99">
        <v>29</v>
      </c>
      <c r="H77" t="s">
        <v>132</v>
      </c>
      <c r="I77" s="100" t="e">
        <f>J72</f>
        <v>#REF!</v>
      </c>
    </row>
    <row r="78" spans="1:11" x14ac:dyDescent="0.3">
      <c r="A78" s="99">
        <v>30</v>
      </c>
      <c r="B78" t="s">
        <v>135</v>
      </c>
      <c r="C78" s="100" t="e">
        <f>(D30-D31)*E22</f>
        <v>#REF!</v>
      </c>
      <c r="G78" s="99">
        <v>30</v>
      </c>
      <c r="H78" t="s">
        <v>135</v>
      </c>
      <c r="I78" s="100" t="e">
        <f>(J30-J31)*K22-I70</f>
        <v>#REF!</v>
      </c>
    </row>
    <row r="79" spans="1:11" x14ac:dyDescent="0.3">
      <c r="A79" s="99">
        <v>31</v>
      </c>
      <c r="B79" t="s">
        <v>133</v>
      </c>
      <c r="C79" s="101" t="e">
        <f>SUM(C75:C78)</f>
        <v>#REF!</v>
      </c>
      <c r="G79" s="99">
        <v>31</v>
      </c>
      <c r="H79" t="s">
        <v>134</v>
      </c>
      <c r="I79" s="101" t="e">
        <f>SUM(I75:I78)</f>
        <v>#REF!</v>
      </c>
    </row>
    <row r="80" spans="1:11" x14ac:dyDescent="0.3">
      <c r="A80" s="99">
        <v>32</v>
      </c>
      <c r="B80" t="s">
        <v>118</v>
      </c>
      <c r="C80" s="100" t="e">
        <f>D30*E22</f>
        <v>#REF!</v>
      </c>
      <c r="G80" s="99">
        <v>32</v>
      </c>
      <c r="H80" t="s">
        <v>136</v>
      </c>
      <c r="I80" s="100" t="e">
        <f>J30*K22</f>
        <v>#REF!</v>
      </c>
    </row>
    <row r="81" spans="1:9" x14ac:dyDescent="0.3">
      <c r="A81" s="99">
        <v>33</v>
      </c>
      <c r="B81" t="s">
        <v>119</v>
      </c>
      <c r="C81" s="100" t="e">
        <f>C79-C80</f>
        <v>#REF!</v>
      </c>
      <c r="G81" s="99">
        <v>33</v>
      </c>
      <c r="H81" t="s">
        <v>119</v>
      </c>
      <c r="I81" s="100" t="e">
        <f>I79-I80</f>
        <v>#REF!</v>
      </c>
    </row>
  </sheetData>
  <customSheetViews>
    <customSheetView guid="{5C6B1FA1-B621-4699-B8F7-5011E8FF1BCD}" showPageBreaks="1" printArea="1" topLeftCell="A2">
      <selection activeCell="C27" sqref="C27"/>
      <rowBreaks count="1" manualBreakCount="1">
        <brk id="42" max="9" man="1"/>
      </rowBreaks>
      <colBreaks count="1" manualBreakCount="1">
        <brk id="5" max="70" man="1"/>
      </colBreaks>
      <pageMargins left="0.7" right="0.7" top="0.55000000000000004" bottom="0.48" header="0.3" footer="0.3"/>
      <printOptions horizontalCentered="1"/>
      <pageSetup scale="88" orientation="portrait" r:id="rId1"/>
    </customSheetView>
    <customSheetView guid="{6A207E9B-31ED-4215-AD4F-ABB2957B65E4}" showPageBreaks="1" printArea="1" topLeftCell="A2">
      <selection activeCell="C27" sqref="C27"/>
      <rowBreaks count="1" manualBreakCount="1">
        <brk id="42" max="9" man="1"/>
      </rowBreaks>
      <colBreaks count="1" manualBreakCount="1">
        <brk id="5" max="70" man="1"/>
      </colBreaks>
      <pageMargins left="0.7" right="0.7" top="0.55000000000000004" bottom="0.48" header="0.3" footer="0.3"/>
      <printOptions horizontalCentered="1"/>
      <pageSetup scale="88" orientation="portrait" r:id="rId2"/>
    </customSheetView>
  </customSheetViews>
  <mergeCells count="31">
    <mergeCell ref="H24:I24"/>
    <mergeCell ref="B5:E5"/>
    <mergeCell ref="H5:K5"/>
    <mergeCell ref="H1:K1"/>
    <mergeCell ref="H2:K2"/>
    <mergeCell ref="H3:K3"/>
    <mergeCell ref="B43:E43"/>
    <mergeCell ref="B25:C25"/>
    <mergeCell ref="H25:I25"/>
    <mergeCell ref="B26:C26"/>
    <mergeCell ref="H26:I26"/>
    <mergeCell ref="B27:C27"/>
    <mergeCell ref="H27:I27"/>
    <mergeCell ref="H43:K43"/>
    <mergeCell ref="H35:K35"/>
    <mergeCell ref="H36:K36"/>
    <mergeCell ref="H38:K38"/>
    <mergeCell ref="H39:K39"/>
    <mergeCell ref="H40:K40"/>
    <mergeCell ref="B42:E42"/>
    <mergeCell ref="H42:K42"/>
    <mergeCell ref="H33:I33"/>
    <mergeCell ref="B38:E38"/>
    <mergeCell ref="B39:E39"/>
    <mergeCell ref="B40:E40"/>
    <mergeCell ref="B1:E1"/>
    <mergeCell ref="B2:E2"/>
    <mergeCell ref="B3:E3"/>
    <mergeCell ref="B35:E35"/>
    <mergeCell ref="B36:E36"/>
    <mergeCell ref="B24:C24"/>
  </mergeCells>
  <hyperlinks>
    <hyperlink ref="B37" r:id="rId3"/>
    <hyperlink ref="H37" r:id="rId4"/>
  </hyperlinks>
  <printOptions horizontalCentered="1"/>
  <pageMargins left="0.7" right="0.7" top="0.55000000000000004" bottom="0.48" header="0.3" footer="0.3"/>
  <pageSetup scale="88" orientation="portrait" r:id="rId5"/>
  <headerFooter>
    <oddFooter>&amp;CATTACHMENT A&amp;RPage &amp;P of 7</oddFooter>
  </headerFooter>
  <rowBreaks count="1" manualBreakCount="1">
    <brk id="41" max="11" man="1"/>
  </rowBreaks>
  <colBreaks count="1" manualBreakCount="1">
    <brk id="6" max="80" man="1"/>
  </colBreaks>
  <legacy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H37"/>
  <sheetViews>
    <sheetView tabSelected="1" workbookViewId="0">
      <selection activeCell="K30" sqref="K30"/>
    </sheetView>
  </sheetViews>
  <sheetFormatPr defaultRowHeight="14.4" x14ac:dyDescent="0.3"/>
  <cols>
    <col min="1" max="1" width="4.109375" customWidth="1"/>
    <col min="3" max="3" width="16.21875" customWidth="1"/>
    <col min="4" max="4" width="10.5546875" bestFit="1" customWidth="1"/>
    <col min="5" max="5" width="14.6640625" customWidth="1"/>
    <col min="6" max="6" width="16.21875" customWidth="1"/>
    <col min="7" max="7" width="8.21875" customWidth="1"/>
    <col min="8" max="8" width="10.77734375" customWidth="1"/>
  </cols>
  <sheetData>
    <row r="1" spans="1:8" x14ac:dyDescent="0.3">
      <c r="A1" s="106"/>
      <c r="B1" s="189" t="s">
        <v>0</v>
      </c>
      <c r="C1" s="189"/>
      <c r="D1" s="189"/>
      <c r="E1" s="189"/>
      <c r="F1" s="189"/>
      <c r="G1" s="189"/>
      <c r="H1" s="189"/>
    </row>
    <row r="2" spans="1:8" x14ac:dyDescent="0.3">
      <c r="A2" s="106"/>
      <c r="B2" s="189" t="s">
        <v>147</v>
      </c>
      <c r="C2" s="189"/>
      <c r="D2" s="189"/>
      <c r="E2" s="189"/>
      <c r="F2" s="189"/>
      <c r="G2" s="189"/>
      <c r="H2" s="189"/>
    </row>
    <row r="3" spans="1:8" x14ac:dyDescent="0.3">
      <c r="A3" s="106"/>
      <c r="B3" s="189" t="s">
        <v>98</v>
      </c>
      <c r="C3" s="189"/>
      <c r="D3" s="189"/>
      <c r="E3" s="189"/>
      <c r="F3" s="189"/>
      <c r="G3" s="189"/>
      <c r="H3" s="189"/>
    </row>
    <row r="4" spans="1:8" x14ac:dyDescent="0.3">
      <c r="A4" s="106"/>
      <c r="B4" s="189" t="s">
        <v>211</v>
      </c>
      <c r="C4" s="189"/>
      <c r="D4" s="189"/>
      <c r="E4" s="189"/>
      <c r="F4" s="189"/>
      <c r="G4" s="189"/>
      <c r="H4" s="189"/>
    </row>
    <row r="5" spans="1:8" x14ac:dyDescent="0.3">
      <c r="A5" s="106"/>
    </row>
    <row r="6" spans="1:8" x14ac:dyDescent="0.3">
      <c r="A6" s="106"/>
      <c r="B6" s="191" t="s">
        <v>152</v>
      </c>
      <c r="C6" s="191"/>
      <c r="D6" s="191"/>
      <c r="E6" s="191"/>
      <c r="F6" s="191"/>
      <c r="G6" s="191"/>
      <c r="H6" s="191"/>
    </row>
    <row r="7" spans="1:8" ht="57.6" customHeight="1" x14ac:dyDescent="0.3">
      <c r="A7" s="118" t="s">
        <v>114</v>
      </c>
      <c r="B7" s="113" t="s">
        <v>3</v>
      </c>
      <c r="C7" s="112" t="s">
        <v>148</v>
      </c>
      <c r="D7" s="113" t="s">
        <v>4</v>
      </c>
      <c r="E7" s="113" t="s">
        <v>84</v>
      </c>
      <c r="F7" s="112" t="s">
        <v>149</v>
      </c>
      <c r="G7" s="112" t="s">
        <v>150</v>
      </c>
      <c r="H7" s="112" t="s">
        <v>151</v>
      </c>
    </row>
    <row r="8" spans="1:8" x14ac:dyDescent="0.3">
      <c r="A8" s="106"/>
      <c r="B8" s="106"/>
      <c r="C8" s="106"/>
      <c r="D8" s="106"/>
      <c r="E8" s="106"/>
      <c r="F8" s="106"/>
      <c r="G8" s="106"/>
      <c r="H8" s="106"/>
    </row>
    <row r="9" spans="1:8" x14ac:dyDescent="0.3">
      <c r="A9" s="113">
        <v>1</v>
      </c>
      <c r="B9" s="119">
        <v>43040</v>
      </c>
      <c r="C9" s="120">
        <f>5187544.49+1976606.32</f>
        <v>7164150.8100000005</v>
      </c>
      <c r="D9" s="121">
        <f>ROUND(((C9+C9+E9)/2)*G9/12,2)</f>
        <v>23798.82</v>
      </c>
      <c r="E9" s="120">
        <v>-761276.07</v>
      </c>
      <c r="F9" s="122">
        <f>C9+D9+E9</f>
        <v>6426673.5600000005</v>
      </c>
      <c r="G9" s="123">
        <v>4.2099999999999999E-2</v>
      </c>
      <c r="H9" s="106"/>
    </row>
    <row r="10" spans="1:8" x14ac:dyDescent="0.3">
      <c r="A10" s="113">
        <v>2</v>
      </c>
      <c r="B10" s="119">
        <f>B9+31</f>
        <v>43071</v>
      </c>
      <c r="C10" s="120">
        <f>F9</f>
        <v>6426673.5600000005</v>
      </c>
      <c r="D10" s="121">
        <f>ROUND(((C10+C10+E10)/2)*G10/12,2)</f>
        <v>20424.89</v>
      </c>
      <c r="E10" s="120">
        <v>-1209703.24</v>
      </c>
      <c r="F10" s="122">
        <f t="shared" ref="F10:F20" si="0">C10+D10+E10</f>
        <v>5237395.21</v>
      </c>
      <c r="G10" s="109">
        <f>G9</f>
        <v>4.2099999999999999E-2</v>
      </c>
      <c r="H10" s="106"/>
    </row>
    <row r="11" spans="1:8" x14ac:dyDescent="0.3">
      <c r="A11" s="113">
        <v>3</v>
      </c>
      <c r="B11" s="119">
        <f t="shared" ref="B11:B20" si="1">B10+31</f>
        <v>43102</v>
      </c>
      <c r="C11" s="120">
        <f t="shared" ref="C11:C20" si="2">F10</f>
        <v>5237395.21</v>
      </c>
      <c r="D11" s="121">
        <f t="shared" ref="D11:D20" si="3">ROUND(((C11+C11+E11)/2)*G11/12,2)</f>
        <v>16638.240000000002</v>
      </c>
      <c r="E11" s="120">
        <v>-1079079.8700000001</v>
      </c>
      <c r="F11" s="122">
        <f t="shared" si="0"/>
        <v>4174953.58</v>
      </c>
      <c r="G11" s="123">
        <v>4.2500000000000003E-2</v>
      </c>
      <c r="H11" s="106"/>
    </row>
    <row r="12" spans="1:8" x14ac:dyDescent="0.3">
      <c r="A12" s="113">
        <v>4</v>
      </c>
      <c r="B12" s="119">
        <f t="shared" si="1"/>
        <v>43133</v>
      </c>
      <c r="C12" s="120">
        <f t="shared" si="2"/>
        <v>4174953.58</v>
      </c>
      <c r="D12" s="121">
        <f t="shared" si="3"/>
        <v>13071.35</v>
      </c>
      <c r="E12" s="120">
        <v>-968441.65</v>
      </c>
      <c r="F12" s="122">
        <f t="shared" si="0"/>
        <v>3219583.2800000003</v>
      </c>
      <c r="G12" s="109">
        <f>G11</f>
        <v>4.2500000000000003E-2</v>
      </c>
      <c r="H12" s="106"/>
    </row>
    <row r="13" spans="1:8" x14ac:dyDescent="0.3">
      <c r="A13" s="113">
        <v>5</v>
      </c>
      <c r="B13" s="119">
        <f t="shared" si="1"/>
        <v>43164</v>
      </c>
      <c r="C13" s="120">
        <f t="shared" si="2"/>
        <v>3219583.2800000003</v>
      </c>
      <c r="D13" s="121">
        <f t="shared" si="3"/>
        <v>9914.69</v>
      </c>
      <c r="E13" s="120">
        <v>-840281.22</v>
      </c>
      <c r="F13" s="122">
        <f t="shared" si="0"/>
        <v>2389216.75</v>
      </c>
      <c r="G13" s="109">
        <f>G12</f>
        <v>4.2500000000000003E-2</v>
      </c>
      <c r="H13" s="106"/>
    </row>
    <row r="14" spans="1:8" x14ac:dyDescent="0.3">
      <c r="A14" s="113">
        <v>6</v>
      </c>
      <c r="B14" s="119">
        <f t="shared" si="1"/>
        <v>43195</v>
      </c>
      <c r="C14" s="120">
        <f t="shared" si="2"/>
        <v>2389216.75</v>
      </c>
      <c r="D14" s="121">
        <f t="shared" si="3"/>
        <v>7931.47</v>
      </c>
      <c r="E14" s="120">
        <v>-519927.49</v>
      </c>
      <c r="F14" s="122">
        <f t="shared" si="0"/>
        <v>1877220.7300000002</v>
      </c>
      <c r="G14" s="123">
        <v>4.4699999999999997E-2</v>
      </c>
      <c r="H14" s="106"/>
    </row>
    <row r="15" spans="1:8" x14ac:dyDescent="0.3">
      <c r="A15" s="113">
        <v>7</v>
      </c>
      <c r="B15" s="119">
        <f t="shared" si="1"/>
        <v>43226</v>
      </c>
      <c r="C15" s="120">
        <f t="shared" si="2"/>
        <v>1877220.7300000002</v>
      </c>
      <c r="D15" s="121">
        <f t="shared" si="3"/>
        <v>6666.51</v>
      </c>
      <c r="E15" s="120">
        <v>-175109.62</v>
      </c>
      <c r="F15" s="122">
        <f t="shared" si="0"/>
        <v>1708777.62</v>
      </c>
      <c r="G15" s="109">
        <f>G14</f>
        <v>4.4699999999999997E-2</v>
      </c>
      <c r="H15" s="106"/>
    </row>
    <row r="16" spans="1:8" x14ac:dyDescent="0.3">
      <c r="A16" s="113">
        <v>8</v>
      </c>
      <c r="B16" s="119">
        <f t="shared" si="1"/>
        <v>43257</v>
      </c>
      <c r="C16" s="120">
        <f t="shared" si="2"/>
        <v>1708777.62</v>
      </c>
      <c r="D16" s="121">
        <f t="shared" si="3"/>
        <v>6104.19</v>
      </c>
      <c r="E16" s="120">
        <v>-140136.91</v>
      </c>
      <c r="F16" s="122">
        <f t="shared" si="0"/>
        <v>1574744.9000000001</v>
      </c>
      <c r="G16" s="109">
        <f>G15</f>
        <v>4.4699999999999997E-2</v>
      </c>
      <c r="H16" s="106"/>
    </row>
    <row r="17" spans="1:8" x14ac:dyDescent="0.3">
      <c r="A17" s="113">
        <v>9</v>
      </c>
      <c r="B17" s="119">
        <f t="shared" si="1"/>
        <v>43288</v>
      </c>
      <c r="C17" s="120">
        <f t="shared" si="2"/>
        <v>1574744.9000000001</v>
      </c>
      <c r="D17" s="121">
        <f t="shared" si="3"/>
        <v>5915.85</v>
      </c>
      <c r="E17" s="124">
        <v>-122187.47</v>
      </c>
      <c r="F17" s="122">
        <f t="shared" si="0"/>
        <v>1458473.2800000003</v>
      </c>
      <c r="G17" s="123">
        <v>4.6899999999999997E-2</v>
      </c>
      <c r="H17" s="56"/>
    </row>
    <row r="18" spans="1:8" x14ac:dyDescent="0.3">
      <c r="A18" s="113">
        <v>10</v>
      </c>
      <c r="B18" s="119">
        <f t="shared" si="1"/>
        <v>43319</v>
      </c>
      <c r="C18" s="120">
        <f t="shared" si="2"/>
        <v>1458473.2800000003</v>
      </c>
      <c r="D18" s="121">
        <f t="shared" si="3"/>
        <v>5507.58</v>
      </c>
      <c r="E18" s="124">
        <f>-ROUND(H18*0.05321,2)</f>
        <v>-98566.84</v>
      </c>
      <c r="F18" s="122">
        <f t="shared" si="0"/>
        <v>1365414.0200000003</v>
      </c>
      <c r="G18" s="109">
        <f>G17</f>
        <v>4.6899999999999997E-2</v>
      </c>
      <c r="H18" s="56">
        <f>'wp6 14 18 Forecast Usage by Sch'!M6</f>
        <v>1852411.921005728</v>
      </c>
    </row>
    <row r="19" spans="1:8" x14ac:dyDescent="0.3">
      <c r="A19" s="113">
        <v>11</v>
      </c>
      <c r="B19" s="119">
        <f t="shared" si="1"/>
        <v>43350</v>
      </c>
      <c r="C19" s="120">
        <f t="shared" si="2"/>
        <v>1365414.0200000003</v>
      </c>
      <c r="D19" s="121">
        <f t="shared" si="3"/>
        <v>5014.25</v>
      </c>
      <c r="E19" s="124">
        <f t="shared" ref="E19:E20" si="4">-ROUND(H19*0.05321,2)</f>
        <v>-164900.09</v>
      </c>
      <c r="F19" s="122">
        <f t="shared" si="0"/>
        <v>1205528.1800000002</v>
      </c>
      <c r="G19" s="109">
        <f>G18</f>
        <v>4.6899999999999997E-2</v>
      </c>
      <c r="H19" s="56">
        <f>'wp6 14 18 Forecast Usage by Sch'!M7</f>
        <v>3099043.1537913671</v>
      </c>
    </row>
    <row r="20" spans="1:8" x14ac:dyDescent="0.3">
      <c r="A20" s="113">
        <v>12</v>
      </c>
      <c r="B20" s="119">
        <f t="shared" si="1"/>
        <v>43381</v>
      </c>
      <c r="C20" s="120">
        <f t="shared" si="2"/>
        <v>1205528.1800000002</v>
      </c>
      <c r="D20" s="121">
        <f t="shared" si="3"/>
        <v>3910.77</v>
      </c>
      <c r="E20" s="124">
        <f t="shared" si="4"/>
        <v>-409810.82</v>
      </c>
      <c r="F20" s="125">
        <f t="shared" si="0"/>
        <v>799628.13000000012</v>
      </c>
      <c r="G20" s="109">
        <f>G19</f>
        <v>4.6899999999999997E-2</v>
      </c>
      <c r="H20" s="56">
        <f>'wp6 14 18 Forecast Usage by Sch'!M8</f>
        <v>7701763.1214809753</v>
      </c>
    </row>
    <row r="21" spans="1:8" x14ac:dyDescent="0.3">
      <c r="A21" s="106"/>
      <c r="B21" s="106"/>
      <c r="C21" s="106"/>
      <c r="D21" s="106"/>
      <c r="E21" s="106"/>
      <c r="F21" s="106"/>
      <c r="G21" s="106"/>
      <c r="H21" s="106"/>
    </row>
    <row r="22" spans="1:8" x14ac:dyDescent="0.3">
      <c r="A22" s="106"/>
      <c r="B22" s="106"/>
      <c r="C22" s="106"/>
      <c r="D22" s="106"/>
      <c r="E22" s="106"/>
      <c r="F22" s="106"/>
      <c r="G22" s="106"/>
      <c r="H22" s="106"/>
    </row>
    <row r="23" spans="1:8" x14ac:dyDescent="0.3">
      <c r="A23" s="106"/>
      <c r="B23" s="191" t="s">
        <v>153</v>
      </c>
      <c r="C23" s="191"/>
      <c r="D23" s="191"/>
      <c r="E23" s="191"/>
      <c r="F23" s="191"/>
      <c r="G23" s="191"/>
      <c r="H23" s="191"/>
    </row>
    <row r="24" spans="1:8" ht="57.6" customHeight="1" x14ac:dyDescent="0.3">
      <c r="A24" s="118" t="s">
        <v>114</v>
      </c>
      <c r="B24" s="113" t="s">
        <v>3</v>
      </c>
      <c r="C24" s="112" t="s">
        <v>148</v>
      </c>
      <c r="D24" s="113" t="s">
        <v>4</v>
      </c>
      <c r="E24" s="113" t="s">
        <v>84</v>
      </c>
      <c r="F24" s="112" t="s">
        <v>149</v>
      </c>
      <c r="G24" s="112" t="s">
        <v>150</v>
      </c>
      <c r="H24" s="112" t="s">
        <v>151</v>
      </c>
    </row>
    <row r="25" spans="1:8" x14ac:dyDescent="0.3">
      <c r="A25" s="106"/>
      <c r="B25" s="106"/>
      <c r="C25" s="106"/>
      <c r="D25" s="106"/>
      <c r="E25" s="106"/>
      <c r="F25" s="106"/>
      <c r="G25" s="106"/>
      <c r="H25" s="106"/>
    </row>
    <row r="26" spans="1:8" x14ac:dyDescent="0.3">
      <c r="A26" s="113">
        <v>13</v>
      </c>
      <c r="B26" s="119">
        <f>B9</f>
        <v>43040</v>
      </c>
      <c r="C26" s="120">
        <f>714679.02+1379665.47</f>
        <v>2094344.49</v>
      </c>
      <c r="D26" s="121">
        <f>ROUND(((C26+C26+E26)/2)*G26/12,2)</f>
        <v>6969.22</v>
      </c>
      <c r="E26" s="120">
        <v>-215735.91</v>
      </c>
      <c r="F26" s="122">
        <f>C26+D26+E26</f>
        <v>1885577.8</v>
      </c>
      <c r="G26" s="168">
        <f>G9</f>
        <v>4.2099999999999999E-2</v>
      </c>
      <c r="H26" s="106"/>
    </row>
    <row r="27" spans="1:8" x14ac:dyDescent="0.3">
      <c r="A27" s="113">
        <v>14</v>
      </c>
      <c r="B27" s="119">
        <f t="shared" ref="B27:B37" si="5">B10</f>
        <v>43071</v>
      </c>
      <c r="C27" s="120">
        <f>F26</f>
        <v>1885577.8</v>
      </c>
      <c r="D27" s="121">
        <f t="shared" ref="D27:D37" si="6">ROUND(((C27+C27+E27)/2)*G27/12,2)</f>
        <v>6084.19</v>
      </c>
      <c r="E27" s="120">
        <v>-302733.51</v>
      </c>
      <c r="F27" s="122">
        <f t="shared" ref="F27:F37" si="7">C27+D27+E27</f>
        <v>1588928.48</v>
      </c>
      <c r="G27" s="168">
        <f t="shared" ref="G27:G37" si="8">G10</f>
        <v>4.2099999999999999E-2</v>
      </c>
      <c r="H27" s="106"/>
    </row>
    <row r="28" spans="1:8" x14ac:dyDescent="0.3">
      <c r="A28" s="113">
        <v>15</v>
      </c>
      <c r="B28" s="119">
        <f t="shared" si="5"/>
        <v>43102</v>
      </c>
      <c r="C28" s="120">
        <f t="shared" ref="C28:C37" si="9">F27</f>
        <v>1588928.48</v>
      </c>
      <c r="D28" s="121">
        <f t="shared" si="6"/>
        <v>5166.4399999999996</v>
      </c>
      <c r="E28" s="120">
        <v>-260338.4</v>
      </c>
      <c r="F28" s="122">
        <f t="shared" si="7"/>
        <v>1333756.52</v>
      </c>
      <c r="G28" s="168">
        <f t="shared" si="8"/>
        <v>4.2500000000000003E-2</v>
      </c>
      <c r="H28" s="106"/>
    </row>
    <row r="29" spans="1:8" x14ac:dyDescent="0.3">
      <c r="A29" s="113">
        <v>16</v>
      </c>
      <c r="B29" s="119">
        <f t="shared" si="5"/>
        <v>43133</v>
      </c>
      <c r="C29" s="120">
        <f t="shared" si="9"/>
        <v>1333756.52</v>
      </c>
      <c r="D29" s="121">
        <f t="shared" si="6"/>
        <v>4219.33</v>
      </c>
      <c r="E29" s="120">
        <v>-284834.71999999997</v>
      </c>
      <c r="F29" s="122">
        <f t="shared" si="7"/>
        <v>1053141.1300000001</v>
      </c>
      <c r="G29" s="168">
        <f t="shared" si="8"/>
        <v>4.2500000000000003E-2</v>
      </c>
      <c r="H29" s="106"/>
    </row>
    <row r="30" spans="1:8" x14ac:dyDescent="0.3">
      <c r="A30" s="113">
        <v>17</v>
      </c>
      <c r="B30" s="119">
        <f t="shared" si="5"/>
        <v>43164</v>
      </c>
      <c r="C30" s="120">
        <f t="shared" si="9"/>
        <v>1053141.1300000001</v>
      </c>
      <c r="D30" s="121">
        <f t="shared" si="6"/>
        <v>3337.69</v>
      </c>
      <c r="E30" s="120">
        <v>-221468.03</v>
      </c>
      <c r="F30" s="122">
        <f t="shared" si="7"/>
        <v>835010.79</v>
      </c>
      <c r="G30" s="168">
        <f t="shared" si="8"/>
        <v>4.2500000000000003E-2</v>
      </c>
      <c r="H30" s="106"/>
    </row>
    <row r="31" spans="1:8" x14ac:dyDescent="0.3">
      <c r="A31" s="113">
        <v>18</v>
      </c>
      <c r="B31" s="119">
        <f t="shared" si="5"/>
        <v>43195</v>
      </c>
      <c r="C31" s="120">
        <f t="shared" si="9"/>
        <v>835010.79</v>
      </c>
      <c r="D31" s="121">
        <f t="shared" si="6"/>
        <v>2793.38</v>
      </c>
      <c r="E31" s="120">
        <v>-170219.57</v>
      </c>
      <c r="F31" s="122">
        <f t="shared" si="7"/>
        <v>667584.60000000009</v>
      </c>
      <c r="G31" s="168">
        <f t="shared" si="8"/>
        <v>4.4699999999999997E-2</v>
      </c>
      <c r="H31" s="106"/>
    </row>
    <row r="32" spans="1:8" x14ac:dyDescent="0.3">
      <c r="A32" s="113">
        <v>19</v>
      </c>
      <c r="B32" s="119">
        <f t="shared" si="5"/>
        <v>43226</v>
      </c>
      <c r="C32" s="120">
        <f t="shared" si="9"/>
        <v>667584.60000000009</v>
      </c>
      <c r="D32" s="121">
        <f t="shared" si="6"/>
        <v>2317.25</v>
      </c>
      <c r="E32" s="120">
        <v>-91009</v>
      </c>
      <c r="F32" s="122">
        <f t="shared" si="7"/>
        <v>578892.85000000009</v>
      </c>
      <c r="G32" s="168">
        <f t="shared" si="8"/>
        <v>4.4699999999999997E-2</v>
      </c>
      <c r="H32" s="106"/>
    </row>
    <row r="33" spans="1:8" x14ac:dyDescent="0.3">
      <c r="A33" s="113">
        <v>20</v>
      </c>
      <c r="B33" s="119">
        <f t="shared" si="5"/>
        <v>43257</v>
      </c>
      <c r="C33" s="120">
        <f t="shared" si="9"/>
        <v>578892.85000000009</v>
      </c>
      <c r="D33" s="121">
        <f t="shared" si="6"/>
        <v>2001.25</v>
      </c>
      <c r="E33" s="120">
        <v>-83289.350000000006</v>
      </c>
      <c r="F33" s="122">
        <f t="shared" si="7"/>
        <v>497604.75000000012</v>
      </c>
      <c r="G33" s="168">
        <f t="shared" si="8"/>
        <v>4.4699999999999997E-2</v>
      </c>
      <c r="H33" s="106"/>
    </row>
    <row r="34" spans="1:8" x14ac:dyDescent="0.3">
      <c r="A34" s="113">
        <v>21</v>
      </c>
      <c r="B34" s="119">
        <f t="shared" si="5"/>
        <v>43288</v>
      </c>
      <c r="C34" s="120">
        <f t="shared" si="9"/>
        <v>497604.75000000012</v>
      </c>
      <c r="D34" s="121">
        <f t="shared" si="6"/>
        <v>1818.73</v>
      </c>
      <c r="E34" s="124">
        <v>-64516.73</v>
      </c>
      <c r="F34" s="122">
        <f t="shared" si="7"/>
        <v>434906.75000000012</v>
      </c>
      <c r="G34" s="168">
        <f t="shared" si="8"/>
        <v>4.6899999999999997E-2</v>
      </c>
      <c r="H34" s="56"/>
    </row>
    <row r="35" spans="1:8" x14ac:dyDescent="0.3">
      <c r="A35" s="113">
        <v>22</v>
      </c>
      <c r="B35" s="119">
        <f t="shared" si="5"/>
        <v>43319</v>
      </c>
      <c r="C35" s="120">
        <f t="shared" si="9"/>
        <v>434906.75000000012</v>
      </c>
      <c r="D35" s="121">
        <f t="shared" si="6"/>
        <v>1540.95</v>
      </c>
      <c r="E35" s="124">
        <f>-ROUND(H35*0.03723,2)</f>
        <v>-81269.570000000007</v>
      </c>
      <c r="F35" s="122">
        <f t="shared" si="7"/>
        <v>355178.13000000012</v>
      </c>
      <c r="G35" s="168">
        <f t="shared" si="8"/>
        <v>4.6899999999999997E-2</v>
      </c>
      <c r="H35" s="56">
        <f>'wp6 14 18 Forecast Usage by Sch'!N6</f>
        <v>2182905.559190576</v>
      </c>
    </row>
    <row r="36" spans="1:8" x14ac:dyDescent="0.3">
      <c r="A36" s="113">
        <v>23</v>
      </c>
      <c r="B36" s="119">
        <f t="shared" si="5"/>
        <v>43350</v>
      </c>
      <c r="C36" s="120">
        <f t="shared" si="9"/>
        <v>355178.13000000012</v>
      </c>
      <c r="D36" s="121">
        <f t="shared" si="6"/>
        <v>1252.05</v>
      </c>
      <c r="E36" s="124">
        <f t="shared" ref="E36:E37" si="10">-ROUND(H36*0.03723,2)</f>
        <v>-69645.929999999993</v>
      </c>
      <c r="F36" s="122">
        <f t="shared" si="7"/>
        <v>286784.25000000012</v>
      </c>
      <c r="G36" s="168">
        <f t="shared" si="8"/>
        <v>4.6899999999999997E-2</v>
      </c>
      <c r="H36" s="56">
        <f>'wp6 14 18 Forecast Usage by Sch'!N7</f>
        <v>1870693.6875645034</v>
      </c>
    </row>
    <row r="37" spans="1:8" x14ac:dyDescent="0.3">
      <c r="A37" s="113">
        <v>24</v>
      </c>
      <c r="B37" s="119">
        <f t="shared" si="5"/>
        <v>43381</v>
      </c>
      <c r="C37" s="120">
        <f t="shared" si="9"/>
        <v>286784.25000000012</v>
      </c>
      <c r="D37" s="121">
        <f t="shared" si="6"/>
        <v>753.5</v>
      </c>
      <c r="E37" s="124">
        <f t="shared" si="10"/>
        <v>-187983.13</v>
      </c>
      <c r="F37" s="125">
        <f t="shared" si="7"/>
        <v>99554.620000000112</v>
      </c>
      <c r="G37" s="168">
        <f t="shared" si="8"/>
        <v>4.6899999999999997E-2</v>
      </c>
      <c r="H37" s="56">
        <f>'wp6 14 18 Forecast Usage by Sch'!N8</f>
        <v>5049238.0529233357</v>
      </c>
    </row>
  </sheetData>
  <mergeCells count="6">
    <mergeCell ref="B1:H1"/>
    <mergeCell ref="B2:H2"/>
    <mergeCell ref="B3:H3"/>
    <mergeCell ref="B6:H6"/>
    <mergeCell ref="B23:H23"/>
    <mergeCell ref="B4:H4"/>
  </mergeCells>
  <pageMargins left="0.7" right="0.7" top="0.75" bottom="0.75" header="0.3" footer="0.3"/>
  <pageSetup orientation="portrait" r:id="rId1"/>
  <headerFooter>
    <oddFooter>&amp;CATTACHMENT A&amp;RPage 5 of 9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J66"/>
  <sheetViews>
    <sheetView tabSelected="1" zoomScaleNormal="100" workbookViewId="0">
      <selection activeCell="K30" sqref="K30"/>
    </sheetView>
  </sheetViews>
  <sheetFormatPr defaultRowHeight="14.4" x14ac:dyDescent="0.3"/>
  <cols>
    <col min="1" max="1" width="7.44140625" style="93" customWidth="1"/>
    <col min="2" max="2" width="30.44140625" customWidth="1"/>
    <col min="4" max="4" width="3.21875" customWidth="1"/>
    <col min="5" max="5" width="15.44140625" customWidth="1"/>
    <col min="6" max="6" width="15.21875" customWidth="1"/>
    <col min="7" max="7" width="3.44140625" customWidth="1"/>
    <col min="8" max="8" width="1.44140625" hidden="1" customWidth="1"/>
    <col min="9" max="9" width="20.44140625" customWidth="1"/>
    <col min="10" max="10" width="19.44140625" customWidth="1"/>
    <col min="11" max="11" width="16.33203125" customWidth="1"/>
    <col min="12" max="12" width="14" customWidth="1"/>
    <col min="13" max="13" width="15" customWidth="1"/>
    <col min="14" max="14" width="4.5546875" customWidth="1"/>
    <col min="15" max="15" width="25.21875" customWidth="1"/>
    <col min="16" max="16" width="16.6640625" customWidth="1"/>
    <col min="17" max="17" width="17" customWidth="1"/>
    <col min="18" max="18" width="12.44140625" customWidth="1"/>
    <col min="19" max="19" width="13.5546875" customWidth="1"/>
  </cols>
  <sheetData>
    <row r="1" spans="1:7" x14ac:dyDescent="0.3">
      <c r="B1" s="189" t="s">
        <v>0</v>
      </c>
      <c r="C1" s="189"/>
      <c r="D1" s="189"/>
      <c r="E1" s="189"/>
      <c r="F1" s="189"/>
      <c r="G1" s="189"/>
    </row>
    <row r="2" spans="1:7" x14ac:dyDescent="0.3">
      <c r="B2" s="189" t="s">
        <v>49</v>
      </c>
      <c r="C2" s="189"/>
      <c r="D2" s="189"/>
      <c r="E2" s="189"/>
      <c r="F2" s="189"/>
      <c r="G2" s="189"/>
    </row>
    <row r="3" spans="1:7" x14ac:dyDescent="0.3">
      <c r="B3" s="189" t="s">
        <v>212</v>
      </c>
      <c r="C3" s="189"/>
      <c r="D3" s="189"/>
      <c r="E3" s="189"/>
      <c r="F3" s="189"/>
      <c r="G3" s="189"/>
    </row>
    <row r="5" spans="1:7" x14ac:dyDescent="0.3">
      <c r="B5" s="96" t="s">
        <v>213</v>
      </c>
      <c r="C5" s="96"/>
      <c r="D5" s="96"/>
    </row>
    <row r="7" spans="1:7" x14ac:dyDescent="0.3">
      <c r="A7" s="93" t="s">
        <v>114</v>
      </c>
      <c r="D7" s="93"/>
      <c r="E7" s="40" t="s">
        <v>50</v>
      </c>
      <c r="F7" s="105"/>
      <c r="G7" s="53"/>
    </row>
    <row r="9" spans="1:7" x14ac:dyDescent="0.3">
      <c r="A9" s="93">
        <v>1</v>
      </c>
      <c r="B9" t="s">
        <v>51</v>
      </c>
      <c r="E9" s="48">
        <v>313174000</v>
      </c>
      <c r="F9" s="48"/>
      <c r="G9" s="48"/>
    </row>
    <row r="11" spans="1:7" x14ac:dyDescent="0.3">
      <c r="A11" s="93">
        <v>2</v>
      </c>
      <c r="B11" t="s">
        <v>52</v>
      </c>
      <c r="E11" s="48">
        <v>26057000</v>
      </c>
      <c r="F11" s="48"/>
      <c r="G11" s="48"/>
    </row>
    <row r="13" spans="1:7" x14ac:dyDescent="0.3">
      <c r="A13" s="93">
        <v>3</v>
      </c>
      <c r="B13" t="s">
        <v>53</v>
      </c>
      <c r="E13" s="46">
        <f>E11/E9</f>
        <v>8.3202947882008091E-2</v>
      </c>
      <c r="F13" s="46"/>
      <c r="G13" s="46"/>
    </row>
    <row r="14" spans="1:7" x14ac:dyDescent="0.3">
      <c r="A14" s="93">
        <v>4</v>
      </c>
      <c r="B14" t="s">
        <v>54</v>
      </c>
      <c r="E14" s="46">
        <v>7.2900000000000006E-2</v>
      </c>
      <c r="F14" s="46"/>
      <c r="G14" s="46"/>
    </row>
    <row r="15" spans="1:7" x14ac:dyDescent="0.3">
      <c r="A15" s="93">
        <v>5</v>
      </c>
      <c r="B15" t="s">
        <v>55</v>
      </c>
      <c r="E15" s="47">
        <f>E13-E14</f>
        <v>1.0302947882008084E-2</v>
      </c>
      <c r="F15" s="47"/>
      <c r="G15" s="47"/>
    </row>
    <row r="17" spans="1:9" x14ac:dyDescent="0.3">
      <c r="A17" s="93">
        <v>6</v>
      </c>
      <c r="B17" t="s">
        <v>56</v>
      </c>
      <c r="E17" s="48">
        <f>IF(E15&gt;0,E9*E15,0)</f>
        <v>3226615.4</v>
      </c>
      <c r="F17" s="48"/>
      <c r="G17" s="48"/>
    </row>
    <row r="18" spans="1:9" x14ac:dyDescent="0.3">
      <c r="A18" s="93">
        <v>7</v>
      </c>
      <c r="B18" t="s">
        <v>57</v>
      </c>
      <c r="E18" s="49">
        <f>'Conversion Factors'!E112</f>
        <v>0.62053000000000003</v>
      </c>
      <c r="F18" s="49"/>
      <c r="G18" s="49"/>
    </row>
    <row r="19" spans="1:9" x14ac:dyDescent="0.3">
      <c r="A19" s="93">
        <v>8</v>
      </c>
      <c r="B19" t="s">
        <v>58</v>
      </c>
      <c r="E19" s="48">
        <f>E17/E18</f>
        <v>5199773.4194962364</v>
      </c>
      <c r="F19" s="48"/>
      <c r="G19" s="48"/>
      <c r="H19" s="48"/>
    </row>
    <row r="20" spans="1:9" ht="15" thickBot="1" x14ac:dyDescent="0.35">
      <c r="A20" s="93">
        <v>9</v>
      </c>
      <c r="B20" t="s">
        <v>59</v>
      </c>
      <c r="E20" s="50">
        <v>0.5</v>
      </c>
      <c r="F20" s="50"/>
      <c r="G20" s="50"/>
    </row>
    <row r="21" spans="1:9" ht="15.6" thickTop="1" thickBot="1" x14ac:dyDescent="0.35">
      <c r="A21" s="93">
        <v>10</v>
      </c>
      <c r="B21" t="s">
        <v>233</v>
      </c>
      <c r="E21" s="51">
        <f>E19*E20</f>
        <v>2599886.7097481182</v>
      </c>
      <c r="F21" s="59"/>
      <c r="G21" s="59"/>
    </row>
    <row r="22" spans="1:9" ht="15" thickTop="1" x14ac:dyDescent="0.3"/>
    <row r="24" spans="1:9" x14ac:dyDescent="0.3">
      <c r="B24" s="96" t="s">
        <v>230</v>
      </c>
      <c r="C24" s="96"/>
      <c r="D24" s="96"/>
      <c r="E24" s="96"/>
      <c r="F24" s="96"/>
      <c r="G24" s="96"/>
    </row>
    <row r="26" spans="1:9" x14ac:dyDescent="0.3">
      <c r="A26" s="93">
        <v>11</v>
      </c>
      <c r="B26" t="s">
        <v>60</v>
      </c>
      <c r="D26" s="46"/>
      <c r="E26" s="82">
        <v>104202001</v>
      </c>
      <c r="F26" s="46">
        <f>E26/E30</f>
        <v>0.77110788107145889</v>
      </c>
      <c r="I26" t="s">
        <v>218</v>
      </c>
    </row>
    <row r="27" spans="1:9" x14ac:dyDescent="0.3">
      <c r="E27" s="83"/>
      <c r="H27" s="46"/>
    </row>
    <row r="28" spans="1:9" x14ac:dyDescent="0.3">
      <c r="A28" s="93">
        <v>12</v>
      </c>
      <c r="B28" t="s">
        <v>61</v>
      </c>
      <c r="D28" s="46"/>
      <c r="E28" s="82">
        <v>30930843</v>
      </c>
      <c r="F28" s="46">
        <f>E28/E30</f>
        <v>0.22889211892854117</v>
      </c>
    </row>
    <row r="29" spans="1:9" x14ac:dyDescent="0.3">
      <c r="H29" s="46"/>
    </row>
    <row r="30" spans="1:9" x14ac:dyDescent="0.3">
      <c r="A30" s="93">
        <v>13</v>
      </c>
      <c r="B30" t="s">
        <v>62</v>
      </c>
      <c r="D30" s="47"/>
      <c r="E30" s="48">
        <f>E26+E28</f>
        <v>135132844</v>
      </c>
      <c r="F30" s="47">
        <f>F26+F28</f>
        <v>1</v>
      </c>
    </row>
    <row r="31" spans="1:9" s="106" customFormat="1" x14ac:dyDescent="0.3">
      <c r="A31" s="108"/>
      <c r="D31" s="109"/>
      <c r="E31" s="110"/>
      <c r="F31" s="109"/>
    </row>
    <row r="32" spans="1:9" x14ac:dyDescent="0.3">
      <c r="E32" s="179" t="s">
        <v>140</v>
      </c>
      <c r="F32" s="179" t="s">
        <v>141</v>
      </c>
      <c r="H32" s="47"/>
    </row>
    <row r="33" spans="1:10" x14ac:dyDescent="0.3">
      <c r="B33" s="54" t="s">
        <v>63</v>
      </c>
      <c r="E33" s="179"/>
      <c r="F33" s="179"/>
    </row>
    <row r="34" spans="1:10" x14ac:dyDescent="0.3">
      <c r="A34" s="93">
        <v>14</v>
      </c>
      <c r="B34" t="s">
        <v>65</v>
      </c>
      <c r="E34" s="48">
        <f>E21*F26</f>
        <v>2004793.1317797184</v>
      </c>
      <c r="F34" s="110">
        <f>ROUND(E34*'Conversion Factors'!$E$108,0)</f>
        <v>1913898</v>
      </c>
    </row>
    <row r="35" spans="1:10" x14ac:dyDescent="0.3">
      <c r="A35" s="93">
        <v>15</v>
      </c>
      <c r="B35" t="s">
        <v>97</v>
      </c>
      <c r="E35" s="48">
        <f>E21*F28</f>
        <v>595093.57796839986</v>
      </c>
      <c r="F35" s="110">
        <f>ROUND(E35*'Conversion Factors'!$E$108,0)</f>
        <v>568113</v>
      </c>
    </row>
    <row r="36" spans="1:10" x14ac:dyDescent="0.3">
      <c r="A36" s="93">
        <v>16</v>
      </c>
      <c r="B36" t="s">
        <v>64</v>
      </c>
      <c r="E36" s="52">
        <f>SUM(E34:E35)</f>
        <v>2599886.7097481182</v>
      </c>
      <c r="F36" s="52">
        <f>SUM(F34:F35)</f>
        <v>2482011</v>
      </c>
      <c r="I36" s="110"/>
    </row>
    <row r="38" spans="1:10" ht="32.4" customHeight="1" x14ac:dyDescent="0.3">
      <c r="A38" s="93" t="s">
        <v>114</v>
      </c>
      <c r="B38" s="97" t="s">
        <v>71</v>
      </c>
      <c r="E38" s="113" t="s">
        <v>142</v>
      </c>
      <c r="F38" s="113" t="s">
        <v>143</v>
      </c>
      <c r="G38" s="113"/>
      <c r="J38" s="127"/>
    </row>
    <row r="39" spans="1:10" s="106" customFormat="1" ht="15" customHeight="1" x14ac:dyDescent="0.3">
      <c r="A39" s="113"/>
      <c r="B39" s="97"/>
      <c r="E39" s="113"/>
      <c r="F39" s="113"/>
      <c r="G39" s="113"/>
    </row>
    <row r="40" spans="1:10" s="106" customFormat="1" ht="30.6" customHeight="1" x14ac:dyDescent="0.3">
      <c r="A40" s="115">
        <v>1</v>
      </c>
      <c r="B40" s="193" t="s">
        <v>214</v>
      </c>
      <c r="C40" s="193"/>
      <c r="D40" s="116"/>
      <c r="E40" s="117">
        <f>E26</f>
        <v>104202001</v>
      </c>
      <c r="F40" s="117">
        <f>E28</f>
        <v>30930843</v>
      </c>
      <c r="G40" s="117"/>
      <c r="J40" s="117"/>
    </row>
    <row r="41" spans="1:10" s="106" customFormat="1" ht="15" customHeight="1" x14ac:dyDescent="0.3">
      <c r="A41" s="113"/>
      <c r="B41" s="97"/>
      <c r="E41" s="113"/>
      <c r="F41" s="113"/>
      <c r="G41" s="113"/>
    </row>
    <row r="42" spans="1:10" ht="15" customHeight="1" x14ac:dyDescent="0.3">
      <c r="A42" s="93">
        <v>2</v>
      </c>
      <c r="B42" t="s">
        <v>215</v>
      </c>
      <c r="E42" s="90">
        <f>'Nat Gas 2017 Rate Calc'!E22</f>
        <v>126528897.21887749</v>
      </c>
      <c r="F42" s="90">
        <f>'Nat Gas 2017 Rate Calc'!K22</f>
        <v>59004175.950750314</v>
      </c>
      <c r="I42" s="106" t="s">
        <v>113</v>
      </c>
    </row>
    <row r="43" spans="1:10" ht="15" customHeight="1" x14ac:dyDescent="0.3"/>
    <row r="44" spans="1:10" ht="15" customHeight="1" x14ac:dyDescent="0.3">
      <c r="A44" s="93">
        <v>3</v>
      </c>
      <c r="B44" t="s">
        <v>66</v>
      </c>
      <c r="E44" s="57">
        <f>'Nat Gas 2017 Rate Calc'!D28</f>
        <v>-2.7199999999999998E-2</v>
      </c>
      <c r="F44" s="57">
        <f>'Nat Gas 2017 Rate Calc'!J28</f>
        <v>6.9100000000000003E-3</v>
      </c>
    </row>
    <row r="45" spans="1:10" ht="15" customHeight="1" x14ac:dyDescent="0.3"/>
    <row r="46" spans="1:10" ht="15" customHeight="1" x14ac:dyDescent="0.3">
      <c r="A46" s="93">
        <v>4</v>
      </c>
      <c r="B46" t="s">
        <v>144</v>
      </c>
      <c r="E46" s="57">
        <v>5.5800000000000002E-2</v>
      </c>
      <c r="F46" s="57">
        <v>3.9039999999999998E-2</v>
      </c>
    </row>
    <row r="47" spans="1:10" ht="15" customHeight="1" x14ac:dyDescent="0.3"/>
    <row r="48" spans="1:10" ht="15" customHeight="1" x14ac:dyDescent="0.3">
      <c r="A48" s="93">
        <v>5</v>
      </c>
      <c r="B48" t="s">
        <v>69</v>
      </c>
      <c r="E48" s="57">
        <f>E44-E46</f>
        <v>-8.3000000000000004E-2</v>
      </c>
      <c r="F48" s="57">
        <f>F44-F46</f>
        <v>-3.2129999999999999E-2</v>
      </c>
    </row>
    <row r="49" spans="1:7" ht="15" customHeight="1" x14ac:dyDescent="0.3"/>
    <row r="50" spans="1:7" ht="15" customHeight="1" x14ac:dyDescent="0.3">
      <c r="A50" s="93">
        <v>6</v>
      </c>
      <c r="B50" t="s">
        <v>70</v>
      </c>
      <c r="E50" s="55">
        <f>E48*E42</f>
        <v>-10501898.469166832</v>
      </c>
      <c r="F50" s="55">
        <f>F48*F42</f>
        <v>-1895804.1732976076</v>
      </c>
      <c r="G50" s="55"/>
    </row>
    <row r="51" spans="1:7" ht="15" customHeight="1" x14ac:dyDescent="0.3">
      <c r="E51" s="55"/>
      <c r="F51" s="55"/>
    </row>
    <row r="52" spans="1:7" ht="15" customHeight="1" x14ac:dyDescent="0.3">
      <c r="A52" s="93">
        <v>7</v>
      </c>
      <c r="B52" t="s">
        <v>72</v>
      </c>
      <c r="E52" s="58">
        <f>E50/E40</f>
        <v>-0.10078403839065271</v>
      </c>
      <c r="F52" s="58">
        <f t="shared" ref="F52" si="0">F50/F40</f>
        <v>-6.1291707222386652E-2</v>
      </c>
      <c r="G52" s="58"/>
    </row>
    <row r="53" spans="1:7" ht="15" customHeight="1" x14ac:dyDescent="0.3"/>
    <row r="54" spans="1:7" ht="15" customHeight="1" x14ac:dyDescent="0.3">
      <c r="A54" s="93">
        <v>8</v>
      </c>
      <c r="B54" t="s">
        <v>216</v>
      </c>
      <c r="E54" s="48">
        <f>IF(E52&gt;0.03,E40*0.03-E50,0)</f>
        <v>0</v>
      </c>
      <c r="F54" s="110">
        <f>IF(F52&gt;0.03,F40*0.03-F50,0)</f>
        <v>0</v>
      </c>
    </row>
    <row r="55" spans="1:7" ht="15" customHeight="1" x14ac:dyDescent="0.3"/>
    <row r="56" spans="1:7" ht="15" customHeight="1" x14ac:dyDescent="0.3">
      <c r="A56" s="93">
        <v>9</v>
      </c>
      <c r="B56" t="s">
        <v>73</v>
      </c>
      <c r="E56" s="57">
        <f>ROUND(E54/E42,5)</f>
        <v>0</v>
      </c>
      <c r="F56" s="57">
        <f>ROUND(F54/F42,5)</f>
        <v>0</v>
      </c>
    </row>
    <row r="57" spans="1:7" ht="15" customHeight="1" x14ac:dyDescent="0.3"/>
    <row r="58" spans="1:7" ht="15" customHeight="1" x14ac:dyDescent="0.3">
      <c r="A58" s="93">
        <v>10</v>
      </c>
      <c r="B58" t="s">
        <v>74</v>
      </c>
      <c r="E58" s="57">
        <f>E44+E56</f>
        <v>-2.7199999999999998E-2</v>
      </c>
      <c r="F58" s="57">
        <f>F44+F56</f>
        <v>6.9100000000000003E-3</v>
      </c>
    </row>
    <row r="59" spans="1:7" ht="15" customHeight="1" x14ac:dyDescent="0.3"/>
    <row r="60" spans="1:7" ht="15" customHeight="1" x14ac:dyDescent="0.3">
      <c r="A60" s="93">
        <v>11</v>
      </c>
      <c r="B60" t="s">
        <v>75</v>
      </c>
      <c r="E60" s="55">
        <f>(E58-E46)*E42</f>
        <v>-10501898.469166832</v>
      </c>
      <c r="F60" s="55">
        <f>(F58-F46)*F42</f>
        <v>-1895804.1732976076</v>
      </c>
      <c r="G60" s="61"/>
    </row>
    <row r="61" spans="1:7" ht="15" customHeight="1" x14ac:dyDescent="0.3">
      <c r="E61" s="61"/>
      <c r="F61" s="61"/>
    </row>
    <row r="62" spans="1:7" ht="15" customHeight="1" x14ac:dyDescent="0.3">
      <c r="A62" s="93">
        <v>12</v>
      </c>
      <c r="B62" t="s">
        <v>76</v>
      </c>
      <c r="E62" s="58">
        <f>E60/E40</f>
        <v>-0.10078403839065271</v>
      </c>
      <c r="F62" s="58">
        <f t="shared" ref="F62" si="1">F60/F40</f>
        <v>-6.1291707222386652E-2</v>
      </c>
      <c r="G62" s="58"/>
    </row>
    <row r="63" spans="1:7" ht="15" customHeight="1" x14ac:dyDescent="0.3"/>
    <row r="64" spans="1:7" x14ac:dyDescent="0.3">
      <c r="B64" t="s">
        <v>80</v>
      </c>
    </row>
    <row r="65" spans="1:8" ht="36" customHeight="1" x14ac:dyDescent="0.3">
      <c r="A65" s="113"/>
      <c r="B65" s="194" t="s">
        <v>217</v>
      </c>
      <c r="C65" s="194"/>
      <c r="D65" s="194"/>
      <c r="E65" s="194"/>
      <c r="F65" s="194"/>
      <c r="G65" s="194"/>
      <c r="H65" s="194"/>
    </row>
    <row r="66" spans="1:8" ht="49.2" customHeight="1" x14ac:dyDescent="0.3">
      <c r="A66" s="113"/>
      <c r="B66" s="192" t="s">
        <v>145</v>
      </c>
      <c r="C66" s="192"/>
      <c r="D66" s="192"/>
      <c r="E66" s="192"/>
      <c r="F66" s="192"/>
      <c r="G66" s="192"/>
      <c r="H66" s="192"/>
    </row>
  </sheetData>
  <customSheetViews>
    <customSheetView guid="{5C6B1FA1-B621-4699-B8F7-5011E8FF1BCD}" scale="60" showPageBreaks="1" printArea="1" view="pageBreakPreview" topLeftCell="F6">
      <selection activeCell="H6" sqref="H6:R52"/>
      <rowBreaks count="1" manualBreakCount="1">
        <brk id="36" max="5" man="1"/>
      </rowBreaks>
      <pageMargins left="0.7" right="0.7" top="0.75" bottom="0.75" header="0.3" footer="0.3"/>
      <pageSetup orientation="portrait" r:id="rId1"/>
    </customSheetView>
    <customSheetView guid="{6A207E9B-31ED-4215-AD4F-ABB2957B65E4}" scale="60" showPageBreaks="1" printArea="1" view="pageBreakPreview" topLeftCell="F1">
      <selection activeCell="F41" sqref="A41:XFD41"/>
      <rowBreaks count="2" manualBreakCount="2">
        <brk id="36" max="5" man="1"/>
        <brk id="51" min="7" max="17" man="1"/>
      </rowBreaks>
      <pageMargins left="0.7" right="0.7" top="0.64" bottom="0.75" header="0.3" footer="0.3"/>
      <pageSetup scale="95" orientation="portrait" r:id="rId2"/>
    </customSheetView>
  </customSheetViews>
  <mergeCells count="8">
    <mergeCell ref="B66:H66"/>
    <mergeCell ref="B1:G1"/>
    <mergeCell ref="B2:G2"/>
    <mergeCell ref="B3:G3"/>
    <mergeCell ref="E32:E33"/>
    <mergeCell ref="F32:F33"/>
    <mergeCell ref="B40:C40"/>
    <mergeCell ref="B65:H65"/>
  </mergeCells>
  <printOptions horizontalCentered="1"/>
  <pageMargins left="0.7" right="0.7" top="0.75" bottom="0.75" header="0.3" footer="0.3"/>
  <pageSetup scale="95" firstPageNumber="6" orientation="portrait" useFirstPageNumber="1" r:id="rId3"/>
  <headerFooter>
    <oddFooter>&amp;CATTACHMENT A&amp;RPage &amp;P of 9</oddFooter>
  </headerFooter>
  <rowBreaks count="1" manualBreakCount="1">
    <brk id="37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H116"/>
  <sheetViews>
    <sheetView tabSelected="1" topLeftCell="A89" zoomScaleNormal="100" workbookViewId="0">
      <selection activeCell="K30" sqref="K30"/>
    </sheetView>
  </sheetViews>
  <sheetFormatPr defaultRowHeight="14.4" x14ac:dyDescent="0.3"/>
  <cols>
    <col min="1" max="1" width="6.5546875" customWidth="1"/>
    <col min="2" max="2" width="2.44140625" customWidth="1"/>
    <col min="3" max="3" width="34.33203125" customWidth="1"/>
    <col min="4" max="4" width="8.88671875" customWidth="1"/>
    <col min="5" max="5" width="12.5546875" customWidth="1"/>
    <col min="6" max="6" width="3" customWidth="1"/>
    <col min="8" max="8" width="12.5546875" bestFit="1" customWidth="1"/>
  </cols>
  <sheetData>
    <row r="1" spans="1:5" hidden="1" x14ac:dyDescent="0.3">
      <c r="A1" s="195" t="s">
        <v>17</v>
      </c>
      <c r="B1" s="195"/>
      <c r="C1" s="195"/>
      <c r="D1" s="195"/>
      <c r="E1" s="195"/>
    </row>
    <row r="2" spans="1:5" ht="14.4" hidden="1" customHeight="1" x14ac:dyDescent="0.3">
      <c r="A2" s="1" t="s">
        <v>18</v>
      </c>
      <c r="B2" s="1"/>
      <c r="C2" s="1"/>
      <c r="D2" s="1"/>
      <c r="E2" s="2"/>
    </row>
    <row r="3" spans="1:5" ht="14.4" hidden="1" customHeight="1" x14ac:dyDescent="0.3">
      <c r="A3" s="1" t="s">
        <v>33</v>
      </c>
      <c r="B3" s="1"/>
      <c r="C3" s="1"/>
      <c r="D3" s="1"/>
      <c r="E3" s="2"/>
    </row>
    <row r="4" spans="1:5" ht="15.6" hidden="1" customHeight="1" x14ac:dyDescent="0.3">
      <c r="A4" s="1" t="s">
        <v>19</v>
      </c>
      <c r="B4" s="1"/>
      <c r="C4" s="1"/>
      <c r="D4" s="1"/>
      <c r="E4" s="2"/>
    </row>
    <row r="5" spans="1:5" hidden="1" x14ac:dyDescent="0.3">
      <c r="A5" s="3"/>
      <c r="B5" s="3"/>
      <c r="C5" s="3"/>
      <c r="D5" s="3"/>
      <c r="E5" s="4"/>
    </row>
    <row r="6" spans="1:5" hidden="1" x14ac:dyDescent="0.3">
      <c r="A6" s="5" t="s">
        <v>20</v>
      </c>
      <c r="B6" s="5"/>
      <c r="C6" s="5"/>
      <c r="D6" s="5"/>
      <c r="E6" s="6"/>
    </row>
    <row r="7" spans="1:5" hidden="1" x14ac:dyDescent="0.3">
      <c r="A7" s="7" t="s">
        <v>21</v>
      </c>
      <c r="B7" s="5"/>
      <c r="C7" s="7" t="s">
        <v>22</v>
      </c>
      <c r="D7" s="8"/>
      <c r="E7" s="9" t="s">
        <v>23</v>
      </c>
    </row>
    <row r="8" spans="1:5" hidden="1" x14ac:dyDescent="0.3">
      <c r="A8" s="3"/>
      <c r="B8" s="3"/>
      <c r="C8" s="3"/>
      <c r="D8" s="3"/>
      <c r="E8" s="4"/>
    </row>
    <row r="9" spans="1:5" hidden="1" x14ac:dyDescent="0.3">
      <c r="A9" s="10">
        <v>1</v>
      </c>
      <c r="B9" s="3"/>
      <c r="C9" s="11" t="s">
        <v>24</v>
      </c>
      <c r="D9" s="3"/>
      <c r="E9" s="12">
        <v>1</v>
      </c>
    </row>
    <row r="10" spans="1:5" hidden="1" x14ac:dyDescent="0.3">
      <c r="A10" s="10"/>
      <c r="B10" s="3"/>
      <c r="C10" s="3"/>
      <c r="D10" s="3"/>
      <c r="E10" s="12"/>
    </row>
    <row r="11" spans="1:5" hidden="1" x14ac:dyDescent="0.3">
      <c r="A11" s="10"/>
      <c r="B11" s="3"/>
      <c r="C11" s="13" t="s">
        <v>25</v>
      </c>
      <c r="D11" s="14"/>
      <c r="E11" s="12"/>
    </row>
    <row r="12" spans="1:5" hidden="1" x14ac:dyDescent="0.3">
      <c r="A12" s="10">
        <v>2</v>
      </c>
      <c r="B12" s="3"/>
      <c r="C12" s="14" t="s">
        <v>26</v>
      </c>
      <c r="D12" s="14"/>
      <c r="E12" s="14">
        <v>4.8500000000000001E-3</v>
      </c>
    </row>
    <row r="13" spans="1:5" hidden="1" x14ac:dyDescent="0.3">
      <c r="A13" s="10"/>
      <c r="B13" s="3"/>
      <c r="C13" s="14"/>
      <c r="D13" s="14"/>
      <c r="E13" s="14"/>
    </row>
    <row r="14" spans="1:5" hidden="1" x14ac:dyDescent="0.3">
      <c r="A14" s="10">
        <v>3</v>
      </c>
      <c r="B14" s="3"/>
      <c r="C14" s="14" t="s">
        <v>27</v>
      </c>
      <c r="D14" s="14"/>
      <c r="E14" s="14">
        <v>2E-3</v>
      </c>
    </row>
    <row r="15" spans="1:5" hidden="1" x14ac:dyDescent="0.3">
      <c r="A15" s="10"/>
      <c r="B15" s="3"/>
      <c r="C15" s="14"/>
      <c r="D15" s="14"/>
      <c r="E15" s="14"/>
    </row>
    <row r="16" spans="1:5" hidden="1" x14ac:dyDescent="0.3">
      <c r="A16" s="10">
        <v>4</v>
      </c>
      <c r="B16" s="3"/>
      <c r="C16" s="14" t="s">
        <v>28</v>
      </c>
      <c r="D16" s="14"/>
      <c r="E16" s="14">
        <v>3.8332999999999999E-2</v>
      </c>
    </row>
    <row r="17" spans="1:5" hidden="1" x14ac:dyDescent="0.3">
      <c r="A17" s="10"/>
      <c r="B17" s="3"/>
      <c r="C17" s="14"/>
      <c r="D17" s="14"/>
      <c r="E17" s="14"/>
    </row>
    <row r="18" spans="1:5" hidden="1" x14ac:dyDescent="0.3">
      <c r="A18" s="10">
        <v>5</v>
      </c>
      <c r="B18" s="3"/>
      <c r="C18" s="14" t="s">
        <v>29</v>
      </c>
      <c r="D18" s="14"/>
      <c r="E18" s="15">
        <f>SUM(E12:E16)</f>
        <v>4.5183000000000001E-2</v>
      </c>
    </row>
    <row r="19" spans="1:5" hidden="1" x14ac:dyDescent="0.3">
      <c r="A19" s="10"/>
      <c r="B19" s="3"/>
      <c r="C19" s="14"/>
      <c r="D19" s="14"/>
      <c r="E19" s="16"/>
    </row>
    <row r="20" spans="1:5" hidden="1" x14ac:dyDescent="0.3">
      <c r="A20" s="10">
        <v>6</v>
      </c>
      <c r="B20" s="3"/>
      <c r="C20" s="14" t="s">
        <v>30</v>
      </c>
      <c r="D20" s="14"/>
      <c r="E20" s="16">
        <f>E9-E18</f>
        <v>0.95481700000000003</v>
      </c>
    </row>
    <row r="21" spans="1:5" hidden="1" x14ac:dyDescent="0.3">
      <c r="A21" s="3"/>
      <c r="B21" s="3"/>
      <c r="C21" s="14"/>
      <c r="D21" s="14"/>
      <c r="E21" s="16"/>
    </row>
    <row r="22" spans="1:5" hidden="1" x14ac:dyDescent="0.3">
      <c r="A22" s="10">
        <v>7</v>
      </c>
      <c r="B22" s="3"/>
      <c r="C22" s="14" t="s">
        <v>31</v>
      </c>
      <c r="D22" s="17"/>
      <c r="E22" s="18">
        <f>ROUND(E20*0.35,6)</f>
        <v>0.33418599999999998</v>
      </c>
    </row>
    <row r="23" spans="1:5" hidden="1" x14ac:dyDescent="0.3">
      <c r="A23" s="3"/>
      <c r="B23" s="3"/>
      <c r="C23" s="14"/>
      <c r="D23" s="14"/>
      <c r="E23" s="16"/>
    </row>
    <row r="24" spans="1:5" ht="15" hidden="1" thickBot="1" x14ac:dyDescent="0.35">
      <c r="A24" s="10">
        <v>8</v>
      </c>
      <c r="B24" s="3"/>
      <c r="C24" s="13" t="s">
        <v>32</v>
      </c>
      <c r="D24" s="14"/>
      <c r="E24" s="20">
        <f>ROUND(E20-E22,5)</f>
        <v>0.62063000000000001</v>
      </c>
    </row>
    <row r="25" spans="1:5" hidden="1" x14ac:dyDescent="0.3"/>
    <row r="26" spans="1:5" hidden="1" x14ac:dyDescent="0.3">
      <c r="C26" t="s">
        <v>34</v>
      </c>
    </row>
    <row r="27" spans="1:5" hidden="1" x14ac:dyDescent="0.3">
      <c r="C27" t="s">
        <v>35</v>
      </c>
    </row>
    <row r="28" spans="1:5" hidden="1" x14ac:dyDescent="0.3">
      <c r="C28" t="s">
        <v>46</v>
      </c>
      <c r="E28">
        <f>1/E20</f>
        <v>1.0473211096995549</v>
      </c>
    </row>
    <row r="29" spans="1:5" hidden="1" x14ac:dyDescent="0.3"/>
    <row r="30" spans="1:5" hidden="1" x14ac:dyDescent="0.3">
      <c r="A30" s="195" t="s">
        <v>17</v>
      </c>
      <c r="B30" s="195"/>
      <c r="C30" s="195"/>
      <c r="D30" s="195"/>
      <c r="E30" s="195"/>
    </row>
    <row r="31" spans="1:5" ht="14.4" hidden="1" customHeight="1" x14ac:dyDescent="0.3">
      <c r="A31" s="1" t="s">
        <v>18</v>
      </c>
      <c r="B31" s="1"/>
      <c r="C31" s="1"/>
      <c r="D31" s="1"/>
      <c r="E31" s="2"/>
    </row>
    <row r="32" spans="1:5" ht="14.4" hidden="1" customHeight="1" x14ac:dyDescent="0.3">
      <c r="A32" s="1" t="s">
        <v>33</v>
      </c>
      <c r="B32" s="1"/>
      <c r="C32" s="1"/>
      <c r="D32" s="1"/>
      <c r="E32" s="2"/>
    </row>
    <row r="33" spans="1:5" ht="15.6" hidden="1" customHeight="1" x14ac:dyDescent="0.3">
      <c r="A33" s="1" t="s">
        <v>36</v>
      </c>
      <c r="B33" s="1"/>
      <c r="C33" s="1"/>
      <c r="D33" s="1"/>
      <c r="E33" s="2"/>
    </row>
    <row r="34" spans="1:5" hidden="1" x14ac:dyDescent="0.3">
      <c r="A34" s="3"/>
      <c r="B34" s="3"/>
      <c r="C34" s="3"/>
      <c r="D34" s="3"/>
      <c r="E34" s="4"/>
    </row>
    <row r="35" spans="1:5" hidden="1" x14ac:dyDescent="0.3">
      <c r="A35" s="5" t="s">
        <v>20</v>
      </c>
      <c r="B35" s="5"/>
      <c r="C35" s="5"/>
      <c r="D35" s="5"/>
      <c r="E35" s="6"/>
    </row>
    <row r="36" spans="1:5" hidden="1" x14ac:dyDescent="0.3">
      <c r="A36" s="7" t="s">
        <v>21</v>
      </c>
      <c r="B36" s="5"/>
      <c r="C36" s="7" t="s">
        <v>22</v>
      </c>
      <c r="D36" s="8"/>
      <c r="E36" s="9" t="s">
        <v>23</v>
      </c>
    </row>
    <row r="37" spans="1:5" hidden="1" x14ac:dyDescent="0.3">
      <c r="A37" s="3"/>
      <c r="B37" s="3"/>
      <c r="C37" s="3"/>
      <c r="D37" s="3"/>
      <c r="E37" s="4"/>
    </row>
    <row r="38" spans="1:5" hidden="1" x14ac:dyDescent="0.3">
      <c r="A38" s="10">
        <v>1</v>
      </c>
      <c r="B38" s="3"/>
      <c r="C38" s="11" t="s">
        <v>24</v>
      </c>
      <c r="D38" s="3"/>
      <c r="E38" s="12">
        <v>1</v>
      </c>
    </row>
    <row r="39" spans="1:5" hidden="1" x14ac:dyDescent="0.3">
      <c r="A39" s="10"/>
      <c r="B39" s="3"/>
      <c r="C39" s="3"/>
      <c r="D39" s="3"/>
      <c r="E39" s="12"/>
    </row>
    <row r="40" spans="1:5" hidden="1" x14ac:dyDescent="0.3">
      <c r="A40" s="10"/>
      <c r="B40" s="3"/>
      <c r="C40" s="13" t="s">
        <v>25</v>
      </c>
      <c r="D40" s="14"/>
      <c r="E40" s="12"/>
    </row>
    <row r="41" spans="1:5" hidden="1" x14ac:dyDescent="0.3">
      <c r="A41" s="10">
        <v>2</v>
      </c>
      <c r="B41" s="3"/>
      <c r="C41" s="14" t="s">
        <v>26</v>
      </c>
      <c r="D41" s="14"/>
      <c r="E41" s="14">
        <v>4.4485628026109834E-3</v>
      </c>
    </row>
    <row r="42" spans="1:5" hidden="1" x14ac:dyDescent="0.3">
      <c r="A42" s="10"/>
      <c r="B42" s="3"/>
      <c r="C42" s="14"/>
      <c r="D42" s="14"/>
      <c r="E42" s="14"/>
    </row>
    <row r="43" spans="1:5" hidden="1" x14ac:dyDescent="0.3">
      <c r="A43" s="10">
        <v>3</v>
      </c>
      <c r="B43" s="3"/>
      <c r="C43" s="14" t="s">
        <v>27</v>
      </c>
      <c r="D43" s="14"/>
      <c r="E43" s="14">
        <v>2E-3</v>
      </c>
    </row>
    <row r="44" spans="1:5" hidden="1" x14ac:dyDescent="0.3">
      <c r="A44" s="10"/>
      <c r="B44" s="3"/>
      <c r="C44" s="14"/>
      <c r="D44" s="14"/>
      <c r="E44" s="14"/>
    </row>
    <row r="45" spans="1:5" hidden="1" x14ac:dyDescent="0.3">
      <c r="A45" s="10">
        <v>4</v>
      </c>
      <c r="B45" s="3"/>
      <c r="C45" s="14" t="s">
        <v>28</v>
      </c>
      <c r="D45" s="14"/>
      <c r="E45" s="14">
        <v>3.8348641360843427E-2</v>
      </c>
    </row>
    <row r="46" spans="1:5" hidden="1" x14ac:dyDescent="0.3">
      <c r="A46" s="10"/>
      <c r="B46" s="3"/>
      <c r="C46" s="14"/>
      <c r="D46" s="14"/>
      <c r="E46" s="14"/>
    </row>
    <row r="47" spans="1:5" hidden="1" x14ac:dyDescent="0.3">
      <c r="A47" s="10">
        <v>5</v>
      </c>
      <c r="B47" s="3"/>
      <c r="C47" s="14" t="s">
        <v>37</v>
      </c>
      <c r="D47" s="14"/>
      <c r="E47" s="14">
        <v>0</v>
      </c>
    </row>
    <row r="48" spans="1:5" hidden="1" x14ac:dyDescent="0.3">
      <c r="A48" s="10"/>
      <c r="B48" s="3"/>
      <c r="C48" s="14"/>
      <c r="D48" s="14"/>
      <c r="E48" s="14"/>
    </row>
    <row r="49" spans="1:6" ht="15" hidden="1" thickBot="1" x14ac:dyDescent="0.35">
      <c r="A49" s="10">
        <v>6</v>
      </c>
      <c r="B49" s="3"/>
      <c r="C49" s="14" t="s">
        <v>29</v>
      </c>
      <c r="D49" s="14"/>
      <c r="E49" s="21">
        <f>SUM(E41:E47)</f>
        <v>4.479720416345441E-2</v>
      </c>
      <c r="F49" t="s">
        <v>39</v>
      </c>
    </row>
    <row r="50" spans="1:6" hidden="1" x14ac:dyDescent="0.3">
      <c r="A50" s="3"/>
      <c r="B50" s="3"/>
      <c r="C50" s="14"/>
      <c r="D50" s="14"/>
      <c r="E50" s="16"/>
    </row>
    <row r="51" spans="1:6" hidden="1" x14ac:dyDescent="0.3">
      <c r="A51" s="10">
        <v>7</v>
      </c>
      <c r="B51" s="3"/>
      <c r="C51" s="14" t="s">
        <v>30</v>
      </c>
      <c r="D51" s="14"/>
      <c r="E51" s="16">
        <f>E38-E49</f>
        <v>0.95520279583654555</v>
      </c>
    </row>
    <row r="52" spans="1:6" hidden="1" x14ac:dyDescent="0.3">
      <c r="A52" s="3"/>
      <c r="B52" s="3"/>
      <c r="C52" s="14"/>
      <c r="D52" s="14"/>
      <c r="E52" s="16"/>
    </row>
    <row r="53" spans="1:6" hidden="1" x14ac:dyDescent="0.3">
      <c r="A53" s="10">
        <v>8</v>
      </c>
      <c r="B53" s="3"/>
      <c r="C53" s="14" t="s">
        <v>31</v>
      </c>
      <c r="D53" s="17"/>
      <c r="E53" s="18">
        <f>ROUND(E51*0.35,6)</f>
        <v>0.33432099999999998</v>
      </c>
    </row>
    <row r="54" spans="1:6" hidden="1" x14ac:dyDescent="0.3">
      <c r="A54" s="3"/>
      <c r="B54" s="3"/>
      <c r="C54" s="14"/>
      <c r="D54" s="14"/>
      <c r="E54" s="16"/>
    </row>
    <row r="55" spans="1:6" ht="15" hidden="1" thickBot="1" x14ac:dyDescent="0.35">
      <c r="A55" s="10">
        <v>9</v>
      </c>
      <c r="B55" s="3"/>
      <c r="C55" s="13" t="s">
        <v>32</v>
      </c>
      <c r="D55" s="14"/>
      <c r="E55" s="20">
        <f>ROUND(E51-E53,5)</f>
        <v>0.62087999999999999</v>
      </c>
    </row>
    <row r="56" spans="1:6" hidden="1" x14ac:dyDescent="0.3">
      <c r="A56" s="19"/>
      <c r="B56" s="19"/>
      <c r="C56" s="19"/>
      <c r="D56" s="19"/>
      <c r="E56" s="19"/>
    </row>
    <row r="57" spans="1:6" hidden="1" x14ac:dyDescent="0.3">
      <c r="C57" t="s">
        <v>34</v>
      </c>
    </row>
    <row r="58" spans="1:6" hidden="1" x14ac:dyDescent="0.3">
      <c r="C58" t="s">
        <v>38</v>
      </c>
    </row>
    <row r="59" spans="1:6" hidden="1" x14ac:dyDescent="0.3">
      <c r="C59" t="s">
        <v>46</v>
      </c>
      <c r="E59">
        <f>1/E51</f>
        <v>1.0468981082956548</v>
      </c>
    </row>
    <row r="60" spans="1:6" hidden="1" x14ac:dyDescent="0.3"/>
    <row r="61" spans="1:6" ht="14.4" hidden="1" customHeight="1" x14ac:dyDescent="0.3">
      <c r="A61" s="22" t="s">
        <v>18</v>
      </c>
      <c r="B61" s="22"/>
      <c r="C61" s="22"/>
      <c r="D61" s="22"/>
      <c r="E61" s="23"/>
    </row>
    <row r="62" spans="1:6" ht="14.4" hidden="1" customHeight="1" x14ac:dyDescent="0.3">
      <c r="A62" s="1" t="s">
        <v>33</v>
      </c>
      <c r="B62" s="1"/>
      <c r="C62" s="1"/>
      <c r="D62" s="1"/>
      <c r="E62" s="2"/>
    </row>
    <row r="63" spans="1:6" ht="15.6" hidden="1" customHeight="1" x14ac:dyDescent="0.3">
      <c r="A63" s="197" t="s">
        <v>40</v>
      </c>
      <c r="B63" s="197"/>
      <c r="C63" s="197"/>
      <c r="D63" s="197"/>
      <c r="E63" s="197"/>
    </row>
    <row r="64" spans="1:6" hidden="1" x14ac:dyDescent="0.3">
      <c r="A64" s="3"/>
      <c r="B64" s="3"/>
      <c r="C64" s="3"/>
      <c r="D64" s="3"/>
      <c r="E64" s="4"/>
    </row>
    <row r="65" spans="1:5" hidden="1" x14ac:dyDescent="0.3">
      <c r="A65" s="5" t="s">
        <v>20</v>
      </c>
      <c r="B65" s="5"/>
      <c r="C65" s="5"/>
      <c r="D65" s="5"/>
      <c r="E65" s="6"/>
    </row>
    <row r="66" spans="1:5" hidden="1" x14ac:dyDescent="0.3">
      <c r="A66" s="7" t="s">
        <v>21</v>
      </c>
      <c r="B66" s="5"/>
      <c r="C66" s="7" t="s">
        <v>22</v>
      </c>
      <c r="D66" s="8"/>
      <c r="E66" s="9" t="s">
        <v>23</v>
      </c>
    </row>
    <row r="67" spans="1:5" hidden="1" x14ac:dyDescent="0.3">
      <c r="A67" s="3"/>
      <c r="B67" s="3"/>
      <c r="C67" s="3"/>
      <c r="D67" s="3"/>
      <c r="E67" s="4"/>
    </row>
    <row r="68" spans="1:5" hidden="1" x14ac:dyDescent="0.3">
      <c r="A68" s="10">
        <v>1</v>
      </c>
      <c r="B68" s="3"/>
      <c r="C68" s="11" t="s">
        <v>24</v>
      </c>
      <c r="D68" s="3"/>
      <c r="E68" s="12">
        <v>1</v>
      </c>
    </row>
    <row r="69" spans="1:5" hidden="1" x14ac:dyDescent="0.3">
      <c r="A69" s="10"/>
      <c r="B69" s="3"/>
      <c r="C69" s="3"/>
      <c r="D69" s="3"/>
      <c r="E69" s="12"/>
    </row>
    <row r="70" spans="1:5" hidden="1" x14ac:dyDescent="0.3">
      <c r="A70" s="10"/>
      <c r="B70" s="3"/>
      <c r="C70" s="13" t="s">
        <v>25</v>
      </c>
      <c r="D70" s="14"/>
      <c r="E70" s="12"/>
    </row>
    <row r="71" spans="1:5" hidden="1" x14ac:dyDescent="0.3">
      <c r="A71" s="10">
        <v>2</v>
      </c>
      <c r="B71" s="3"/>
      <c r="C71" s="14" t="s">
        <v>26</v>
      </c>
      <c r="D71" s="14"/>
      <c r="E71" s="14">
        <v>5.85543782177716E-3</v>
      </c>
    </row>
    <row r="72" spans="1:5" hidden="1" x14ac:dyDescent="0.3">
      <c r="A72" s="10"/>
      <c r="B72" s="3"/>
      <c r="C72" s="14"/>
      <c r="D72" s="14"/>
      <c r="E72" s="14"/>
    </row>
    <row r="73" spans="1:5" hidden="1" x14ac:dyDescent="0.3">
      <c r="A73" s="10">
        <v>3</v>
      </c>
      <c r="B73" s="3"/>
      <c r="C73" s="14" t="s">
        <v>27</v>
      </c>
      <c r="D73" s="14"/>
      <c r="E73" s="14">
        <v>2E-3</v>
      </c>
    </row>
    <row r="74" spans="1:5" hidden="1" x14ac:dyDescent="0.3">
      <c r="A74" s="10"/>
      <c r="B74" s="3"/>
      <c r="C74" s="14"/>
      <c r="D74" s="14"/>
      <c r="E74" s="14"/>
    </row>
    <row r="75" spans="1:5" hidden="1" x14ac:dyDescent="0.3">
      <c r="A75" s="10">
        <v>4</v>
      </c>
      <c r="B75" s="3"/>
      <c r="C75" s="14" t="s">
        <v>28</v>
      </c>
      <c r="D75" s="14"/>
      <c r="E75" s="14">
        <v>3.8294448535105101E-2</v>
      </c>
    </row>
    <row r="76" spans="1:5" hidden="1" x14ac:dyDescent="0.3">
      <c r="A76" s="10"/>
      <c r="B76" s="3"/>
      <c r="C76" s="14"/>
      <c r="D76" s="14"/>
      <c r="E76" s="14"/>
    </row>
    <row r="77" spans="1:5" hidden="1" x14ac:dyDescent="0.3">
      <c r="A77" s="10">
        <v>5</v>
      </c>
      <c r="B77" s="3"/>
      <c r="C77" s="14" t="s">
        <v>29</v>
      </c>
      <c r="D77" s="14"/>
      <c r="E77" s="15">
        <f>SUM(E71:E75)</f>
        <v>4.6149886356882261E-2</v>
      </c>
    </row>
    <row r="78" spans="1:5" hidden="1" x14ac:dyDescent="0.3">
      <c r="A78" s="10"/>
      <c r="B78" s="3"/>
      <c r="C78" s="14"/>
      <c r="D78" s="14"/>
      <c r="E78" s="16"/>
    </row>
    <row r="79" spans="1:5" hidden="1" x14ac:dyDescent="0.3">
      <c r="A79" s="10">
        <v>6</v>
      </c>
      <c r="B79" s="3"/>
      <c r="C79" s="14" t="s">
        <v>30</v>
      </c>
      <c r="D79" s="14"/>
      <c r="E79" s="16">
        <f>E68-E77</f>
        <v>0.95385011364311778</v>
      </c>
    </row>
    <row r="80" spans="1:5" hidden="1" x14ac:dyDescent="0.3">
      <c r="A80" s="3"/>
      <c r="B80" s="3"/>
      <c r="C80" s="14"/>
      <c r="D80" s="14"/>
      <c r="E80" s="16"/>
    </row>
    <row r="81" spans="1:5" hidden="1" x14ac:dyDescent="0.3">
      <c r="A81" s="10">
        <v>7</v>
      </c>
      <c r="B81" s="3"/>
      <c r="C81" s="14" t="s">
        <v>31</v>
      </c>
      <c r="D81" s="17"/>
      <c r="E81" s="18">
        <f>E79*0.35</f>
        <v>0.33384753977509118</v>
      </c>
    </row>
    <row r="82" spans="1:5" hidden="1" x14ac:dyDescent="0.3">
      <c r="A82" s="3"/>
      <c r="B82" s="3"/>
      <c r="C82" s="14"/>
      <c r="D82" s="14"/>
      <c r="E82" s="16"/>
    </row>
    <row r="83" spans="1:5" ht="15" hidden="1" thickBot="1" x14ac:dyDescent="0.35">
      <c r="A83" s="10">
        <v>8</v>
      </c>
      <c r="B83" s="3"/>
      <c r="C83" s="13" t="s">
        <v>32</v>
      </c>
      <c r="D83" s="14"/>
      <c r="E83" s="24">
        <f>ROUND(E79-E81,6)</f>
        <v>0.62000299999999997</v>
      </c>
    </row>
    <row r="84" spans="1:5" hidden="1" x14ac:dyDescent="0.3">
      <c r="A84" s="19"/>
      <c r="B84" s="19"/>
      <c r="C84" s="19"/>
      <c r="D84" s="19"/>
      <c r="E84" s="19"/>
    </row>
    <row r="85" spans="1:5" hidden="1" x14ac:dyDescent="0.3">
      <c r="C85" t="s">
        <v>41</v>
      </c>
    </row>
    <row r="86" spans="1:5" hidden="1" x14ac:dyDescent="0.3">
      <c r="C86" t="s">
        <v>38</v>
      </c>
    </row>
    <row r="87" spans="1:5" hidden="1" x14ac:dyDescent="0.3">
      <c r="C87" t="s">
        <v>46</v>
      </c>
      <c r="E87">
        <f>1/E79</f>
        <v>1.0483827445180232</v>
      </c>
    </row>
    <row r="88" spans="1:5" hidden="1" x14ac:dyDescent="0.3"/>
    <row r="89" spans="1:5" x14ac:dyDescent="0.3">
      <c r="A89" s="196" t="s">
        <v>17</v>
      </c>
      <c r="B89" s="196"/>
      <c r="C89" s="196"/>
      <c r="D89" s="196"/>
      <c r="E89" s="196"/>
    </row>
    <row r="90" spans="1:5" x14ac:dyDescent="0.3">
      <c r="A90" s="196" t="s">
        <v>18</v>
      </c>
      <c r="B90" s="196"/>
      <c r="C90" s="196"/>
      <c r="D90" s="196"/>
      <c r="E90" s="196"/>
    </row>
    <row r="91" spans="1:5" x14ac:dyDescent="0.3">
      <c r="A91" s="196" t="s">
        <v>42</v>
      </c>
      <c r="B91" s="196"/>
      <c r="C91" s="196"/>
      <c r="D91" s="196"/>
      <c r="E91" s="196"/>
    </row>
    <row r="92" spans="1:5" x14ac:dyDescent="0.3">
      <c r="A92" s="196" t="s">
        <v>219</v>
      </c>
      <c r="B92" s="196"/>
      <c r="C92" s="196"/>
      <c r="D92" s="196"/>
      <c r="E92" s="196"/>
    </row>
    <row r="93" spans="1:5" x14ac:dyDescent="0.3">
      <c r="A93" s="3"/>
      <c r="B93" s="3"/>
      <c r="C93" s="25"/>
      <c r="D93" s="14"/>
      <c r="E93" s="4"/>
    </row>
    <row r="94" spans="1:5" x14ac:dyDescent="0.3">
      <c r="A94" s="25" t="s">
        <v>20</v>
      </c>
      <c r="B94" s="3"/>
      <c r="C94" s="25"/>
      <c r="D94" s="14"/>
      <c r="E94" s="25"/>
    </row>
    <row r="95" spans="1:5" x14ac:dyDescent="0.3">
      <c r="A95" s="26" t="s">
        <v>21</v>
      </c>
      <c r="B95" s="3"/>
      <c r="C95" s="26" t="s">
        <v>22</v>
      </c>
      <c r="D95" s="14"/>
      <c r="E95" s="26" t="s">
        <v>23</v>
      </c>
    </row>
    <row r="96" spans="1:5" x14ac:dyDescent="0.3">
      <c r="A96" s="25"/>
      <c r="B96" s="3"/>
      <c r="C96" s="14"/>
      <c r="D96" s="14"/>
      <c r="E96" s="14"/>
    </row>
    <row r="97" spans="1:8" x14ac:dyDescent="0.3">
      <c r="A97" s="10">
        <v>1</v>
      </c>
      <c r="B97" s="3"/>
      <c r="C97" s="13" t="s">
        <v>24</v>
      </c>
      <c r="D97" s="14"/>
      <c r="E97" s="14">
        <v>1</v>
      </c>
    </row>
    <row r="98" spans="1:8" x14ac:dyDescent="0.3">
      <c r="A98" s="10"/>
      <c r="B98" s="3"/>
      <c r="C98" s="13"/>
      <c r="D98" s="14"/>
      <c r="E98" s="14"/>
    </row>
    <row r="99" spans="1:8" x14ac:dyDescent="0.3">
      <c r="A99" s="10"/>
      <c r="B99" s="3"/>
      <c r="C99" s="13" t="s">
        <v>25</v>
      </c>
      <c r="D99" s="14"/>
      <c r="E99" s="14"/>
    </row>
    <row r="100" spans="1:8" x14ac:dyDescent="0.3">
      <c r="A100" s="10">
        <v>2</v>
      </c>
      <c r="B100" s="27"/>
      <c r="C100" s="14" t="s">
        <v>43</v>
      </c>
      <c r="D100" s="14"/>
      <c r="E100" s="28">
        <v>5.012E-3</v>
      </c>
    </row>
    <row r="101" spans="1:8" x14ac:dyDescent="0.3">
      <c r="A101" s="10"/>
      <c r="B101" s="3"/>
      <c r="C101" s="14"/>
      <c r="D101" s="14"/>
      <c r="E101" s="28"/>
    </row>
    <row r="102" spans="1:8" x14ac:dyDescent="0.3">
      <c r="A102" s="10">
        <v>3</v>
      </c>
      <c r="B102" s="3"/>
      <c r="C102" s="14" t="s">
        <v>44</v>
      </c>
      <c r="D102" s="14"/>
      <c r="E102" s="28">
        <v>2E-3</v>
      </c>
    </row>
    <row r="103" spans="1:8" x14ac:dyDescent="0.3">
      <c r="A103" s="10"/>
      <c r="B103" s="3"/>
      <c r="C103" s="14"/>
      <c r="D103" s="14"/>
      <c r="E103" s="28"/>
    </row>
    <row r="104" spans="1:8" x14ac:dyDescent="0.3">
      <c r="A104" s="10">
        <v>4</v>
      </c>
      <c r="B104" s="3"/>
      <c r="C104" s="14" t="s">
        <v>45</v>
      </c>
      <c r="D104" s="14"/>
      <c r="E104" s="28">
        <v>3.8327E-2</v>
      </c>
    </row>
    <row r="105" spans="1:8" x14ac:dyDescent="0.3">
      <c r="A105" s="10"/>
      <c r="B105" s="3"/>
      <c r="C105" s="14"/>
      <c r="D105" s="14"/>
      <c r="E105" s="29"/>
    </row>
    <row r="106" spans="1:8" x14ac:dyDescent="0.3">
      <c r="A106" s="10">
        <v>5</v>
      </c>
      <c r="B106" s="3"/>
      <c r="C106" s="14" t="s">
        <v>29</v>
      </c>
      <c r="D106" s="14"/>
      <c r="E106" s="30">
        <f>SUM(E100:E105)</f>
        <v>4.5338999999999997E-2</v>
      </c>
    </row>
    <row r="107" spans="1:8" x14ac:dyDescent="0.3">
      <c r="A107" s="10"/>
      <c r="B107" s="3"/>
      <c r="C107" s="14"/>
      <c r="D107" s="14"/>
      <c r="E107" s="14"/>
    </row>
    <row r="108" spans="1:8" x14ac:dyDescent="0.3">
      <c r="A108" s="10">
        <v>6</v>
      </c>
      <c r="B108" s="3"/>
      <c r="C108" s="14" t="s">
        <v>30</v>
      </c>
      <c r="D108" s="14"/>
      <c r="E108" s="14">
        <f>E97-E106</f>
        <v>0.95466099999999998</v>
      </c>
      <c r="H108" s="114"/>
    </row>
    <row r="109" spans="1:8" x14ac:dyDescent="0.3">
      <c r="A109" s="10"/>
      <c r="B109" s="3"/>
      <c r="C109" s="14"/>
      <c r="D109" s="14"/>
      <c r="E109" s="14"/>
      <c r="H109" s="114"/>
    </row>
    <row r="110" spans="1:8" x14ac:dyDescent="0.3">
      <c r="A110" s="10">
        <v>7</v>
      </c>
      <c r="B110" s="3"/>
      <c r="C110" s="14" t="s">
        <v>31</v>
      </c>
      <c r="D110" s="17"/>
      <c r="E110" s="14">
        <f>E108*0.35</f>
        <v>0.33413134999999999</v>
      </c>
    </row>
    <row r="111" spans="1:8" x14ac:dyDescent="0.3">
      <c r="A111" s="3"/>
      <c r="B111" s="3"/>
      <c r="C111" s="14"/>
      <c r="D111" s="14"/>
      <c r="E111" s="14"/>
    </row>
    <row r="112" spans="1:8" ht="15" thickBot="1" x14ac:dyDescent="0.35">
      <c r="A112" s="10">
        <v>8</v>
      </c>
      <c r="B112" s="3"/>
      <c r="C112" s="14" t="s">
        <v>32</v>
      </c>
      <c r="D112" s="14"/>
      <c r="E112" s="31">
        <f>ROUND(E108-E110,6)</f>
        <v>0.62053000000000003</v>
      </c>
    </row>
    <row r="113" spans="1:5" ht="15" thickTop="1" x14ac:dyDescent="0.3"/>
    <row r="114" spans="1:5" x14ac:dyDescent="0.3">
      <c r="A114" s="93">
        <v>9</v>
      </c>
      <c r="C114" t="s">
        <v>46</v>
      </c>
      <c r="E114">
        <f>ROUND(1/E108,6)</f>
        <v>1.0474920000000001</v>
      </c>
    </row>
    <row r="116" spans="1:5" x14ac:dyDescent="0.3">
      <c r="A116" s="106" t="s">
        <v>220</v>
      </c>
    </row>
  </sheetData>
  <customSheetViews>
    <customSheetView guid="{5C6B1FA1-B621-4699-B8F7-5011E8FF1BCD}" showPageBreaks="1" printArea="1" hiddenRows="1" topLeftCell="A89">
      <colBreaks count="1" manualBreakCount="1">
        <brk id="6" max="114" man="1"/>
      </colBreaks>
      <pageMargins left="0.7" right="0.7" top="0.75" bottom="0.75" header="0.3" footer="0.3"/>
      <pageSetup orientation="portrait" r:id="rId1"/>
    </customSheetView>
    <customSheetView guid="{6A207E9B-31ED-4215-AD4F-ABB2957B65E4}" showPageBreaks="1" printArea="1" hiddenRows="1" topLeftCell="A89">
      <colBreaks count="1" manualBreakCount="1">
        <brk id="6" max="114" man="1"/>
      </colBreaks>
      <pageMargins left="0.7" right="0.7" top="0.75" bottom="0.75" header="0.3" footer="0.3"/>
      <pageSetup orientation="portrait" r:id="rId2"/>
    </customSheetView>
  </customSheetViews>
  <mergeCells count="7">
    <mergeCell ref="A1:E1"/>
    <mergeCell ref="A30:E30"/>
    <mergeCell ref="A92:E92"/>
    <mergeCell ref="A91:E91"/>
    <mergeCell ref="A90:E90"/>
    <mergeCell ref="A89:E89"/>
    <mergeCell ref="A63:E63"/>
  </mergeCells>
  <printOptions horizontalCentered="1"/>
  <pageMargins left="0.7" right="0.7" top="0.75" bottom="0.75" header="0.3" footer="0.3"/>
  <pageSetup orientation="portrait" r:id="rId3"/>
  <headerFooter>
    <oddFooter>&amp;CATTACHMENT A&amp;RPage 8 of  9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B1:M43"/>
  <sheetViews>
    <sheetView tabSelected="1" zoomScaleNormal="100" workbookViewId="0">
      <selection activeCell="K30" sqref="K30"/>
    </sheetView>
  </sheetViews>
  <sheetFormatPr defaultRowHeight="14.4" x14ac:dyDescent="0.3"/>
  <cols>
    <col min="1" max="1" width="2.109375" style="106" customWidth="1"/>
    <col min="2" max="2" width="21.44140625" style="106" customWidth="1"/>
    <col min="3" max="3" width="9.21875" style="106" customWidth="1"/>
    <col min="4" max="4" width="13.77734375" style="106" customWidth="1"/>
    <col min="5" max="5" width="11.33203125" style="106" customWidth="1"/>
    <col min="6" max="6" width="11.21875" style="106" customWidth="1"/>
    <col min="7" max="7" width="12.88671875" style="106" customWidth="1"/>
    <col min="8" max="8" width="12.6640625" style="106" customWidth="1"/>
    <col min="9" max="9" width="12.21875" style="106" customWidth="1"/>
    <col min="10" max="10" width="12.33203125" style="106" customWidth="1"/>
    <col min="11" max="11" width="2.5546875" style="106" customWidth="1"/>
    <col min="12" max="12" width="13.21875" style="106" customWidth="1"/>
    <col min="13" max="13" width="8.109375" style="106" customWidth="1"/>
    <col min="14" max="16384" width="8.88671875" style="106"/>
  </cols>
  <sheetData>
    <row r="1" spans="2:13" x14ac:dyDescent="0.3">
      <c r="B1" s="106" t="s">
        <v>0</v>
      </c>
    </row>
    <row r="2" spans="2:13" x14ac:dyDescent="0.3">
      <c r="B2" s="106" t="s">
        <v>156</v>
      </c>
    </row>
    <row r="3" spans="2:13" x14ac:dyDescent="0.3">
      <c r="B3" s="106" t="s">
        <v>229</v>
      </c>
    </row>
    <row r="4" spans="2:13" x14ac:dyDescent="0.3">
      <c r="B4" s="106" t="s">
        <v>50</v>
      </c>
    </row>
    <row r="6" spans="2:13" x14ac:dyDescent="0.3">
      <c r="D6" s="128" t="s">
        <v>157</v>
      </c>
      <c r="E6" s="128" t="s">
        <v>158</v>
      </c>
      <c r="F6" s="128" t="s">
        <v>159</v>
      </c>
      <c r="G6" s="128" t="s">
        <v>160</v>
      </c>
      <c r="H6" s="128" t="s">
        <v>161</v>
      </c>
      <c r="I6" s="128" t="s">
        <v>161</v>
      </c>
      <c r="J6" s="128" t="s">
        <v>162</v>
      </c>
      <c r="L6" s="128" t="s">
        <v>159</v>
      </c>
    </row>
    <row r="7" spans="2:13" x14ac:dyDescent="0.3">
      <c r="B7" s="131" t="s">
        <v>163</v>
      </c>
      <c r="C7" s="131" t="s">
        <v>164</v>
      </c>
      <c r="D7" s="128" t="s">
        <v>165</v>
      </c>
      <c r="E7" s="128" t="s">
        <v>157</v>
      </c>
      <c r="F7" s="128" t="s">
        <v>157</v>
      </c>
      <c r="G7" s="128" t="s">
        <v>157</v>
      </c>
      <c r="H7" s="128" t="s">
        <v>157</v>
      </c>
      <c r="I7" s="128" t="s">
        <v>157</v>
      </c>
      <c r="J7" s="128" t="s">
        <v>166</v>
      </c>
      <c r="L7" s="128" t="s">
        <v>167</v>
      </c>
    </row>
    <row r="8" spans="2:13" x14ac:dyDescent="0.3">
      <c r="B8" s="132" t="s">
        <v>168</v>
      </c>
      <c r="C8" s="132" t="s">
        <v>169</v>
      </c>
      <c r="D8" s="133" t="s">
        <v>170</v>
      </c>
      <c r="E8" s="133" t="s">
        <v>166</v>
      </c>
      <c r="F8" s="133" t="s">
        <v>171</v>
      </c>
      <c r="G8" s="133" t="s">
        <v>222</v>
      </c>
      <c r="H8" s="133" t="s">
        <v>171</v>
      </c>
      <c r="I8" s="133" t="s">
        <v>166</v>
      </c>
      <c r="J8" s="134" t="s">
        <v>172</v>
      </c>
      <c r="L8" s="135" t="s">
        <v>171</v>
      </c>
    </row>
    <row r="9" spans="2:13" x14ac:dyDescent="0.3">
      <c r="B9" s="131" t="s">
        <v>173</v>
      </c>
      <c r="C9" s="131" t="s">
        <v>174</v>
      </c>
      <c r="D9" s="131" t="s">
        <v>175</v>
      </c>
      <c r="E9" s="131" t="s">
        <v>176</v>
      </c>
      <c r="F9" s="131" t="s">
        <v>177</v>
      </c>
      <c r="G9" s="131" t="s">
        <v>178</v>
      </c>
      <c r="H9" s="131" t="s">
        <v>179</v>
      </c>
      <c r="I9" s="131" t="s">
        <v>180</v>
      </c>
      <c r="J9" s="135" t="s">
        <v>181</v>
      </c>
    </row>
    <row r="10" spans="2:13" x14ac:dyDescent="0.3">
      <c r="B10" s="136"/>
      <c r="C10" s="131"/>
    </row>
    <row r="11" spans="2:13" s="54" customFormat="1" x14ac:dyDescent="0.3">
      <c r="B11" s="171" t="s">
        <v>182</v>
      </c>
      <c r="C11" s="172" t="s">
        <v>183</v>
      </c>
      <c r="D11" s="173">
        <f>SUM('wp6 14 18 Forecast Usage by Sch'!C9:C20)</f>
        <v>126528897.21887749</v>
      </c>
      <c r="E11" s="174">
        <v>5.5800000000000002E-2</v>
      </c>
      <c r="F11" s="175">
        <f>D11*E11</f>
        <v>7060312.4648133647</v>
      </c>
      <c r="G11" s="175">
        <f>H11-F11</f>
        <v>-10501898.469166832</v>
      </c>
      <c r="H11" s="176">
        <f>D11*I11</f>
        <v>-3441586.0043534678</v>
      </c>
      <c r="I11" s="139">
        <v>-2.7199999999999998E-2</v>
      </c>
      <c r="J11" s="177">
        <f>ROUND(I11-E11,5)</f>
        <v>-8.3000000000000004E-2</v>
      </c>
      <c r="L11" s="175">
        <v>104202001</v>
      </c>
      <c r="M11" s="58">
        <f>G11/L11</f>
        <v>-0.10078403839065271</v>
      </c>
    </row>
    <row r="12" spans="2:13" x14ac:dyDescent="0.3">
      <c r="B12" s="136"/>
      <c r="C12" s="131"/>
      <c r="F12" s="55"/>
      <c r="G12" s="55"/>
      <c r="H12" s="110"/>
      <c r="I12" s="139"/>
      <c r="J12" s="140"/>
      <c r="L12" s="55"/>
      <c r="M12" s="46"/>
    </row>
    <row r="13" spans="2:13" x14ac:dyDescent="0.3">
      <c r="B13" s="136" t="s">
        <v>184</v>
      </c>
      <c r="C13" s="141">
        <v>111</v>
      </c>
      <c r="D13" s="137">
        <f>SUM('wp6 14 18 Forecast Usage by Sch'!D9:D20)</f>
        <v>54622969.390306167</v>
      </c>
      <c r="E13" s="138">
        <v>3.9039999999999998E-2</v>
      </c>
      <c r="F13" s="55">
        <f t="shared" ref="F13:F17" si="0">D13*E13</f>
        <v>2132480.7249975526</v>
      </c>
      <c r="G13" s="55">
        <f>H13-F13</f>
        <v>-1755036.0065105369</v>
      </c>
      <c r="H13" s="110">
        <f>D13*I13</f>
        <v>377444.71848701563</v>
      </c>
      <c r="I13" s="139">
        <v>6.9100000000000003E-3</v>
      </c>
      <c r="J13" s="140">
        <f t="shared" ref="J13:J17" si="1">I13-E13</f>
        <v>-3.2129999999999999E-2</v>
      </c>
      <c r="L13" s="55">
        <f>28908087-L14</f>
        <v>28809809</v>
      </c>
      <c r="M13" s="46">
        <f t="shared" ref="M13:M24" si="2">G13/L13</f>
        <v>-6.091800214678747E-2</v>
      </c>
    </row>
    <row r="14" spans="2:13" x14ac:dyDescent="0.3">
      <c r="B14" s="136" t="s">
        <v>184</v>
      </c>
      <c r="C14" s="131">
        <v>112</v>
      </c>
      <c r="D14" s="142" t="s">
        <v>185</v>
      </c>
      <c r="E14" s="138"/>
      <c r="F14" s="55"/>
      <c r="G14" s="55"/>
      <c r="H14" s="110"/>
      <c r="I14" s="139"/>
      <c r="J14" s="140"/>
      <c r="L14" s="55">
        <f>90412+7866</f>
        <v>98278</v>
      </c>
      <c r="M14" s="152">
        <v>0</v>
      </c>
    </row>
    <row r="15" spans="2:13" ht="30" customHeight="1" x14ac:dyDescent="0.3">
      <c r="B15" s="143" t="s">
        <v>186</v>
      </c>
      <c r="C15" s="144">
        <v>121</v>
      </c>
      <c r="D15" s="145">
        <f>SUM('wp6 14 18 Forecast Usage by Sch'!F9:F20)-C43</f>
        <v>4381206.5604441501</v>
      </c>
      <c r="E15" s="146">
        <v>3.9039999999999998E-2</v>
      </c>
      <c r="F15" s="147">
        <f t="shared" si="0"/>
        <v>171042.30411973962</v>
      </c>
      <c r="G15" s="147">
        <f>H15-F15</f>
        <v>-140768.16678707054</v>
      </c>
      <c r="H15" s="148">
        <f>D15*I15</f>
        <v>30274.137332669077</v>
      </c>
      <c r="I15" s="149">
        <v>6.9100000000000003E-3</v>
      </c>
      <c r="J15" s="150">
        <f t="shared" si="1"/>
        <v>-3.2129999999999999E-2</v>
      </c>
      <c r="K15" s="151"/>
      <c r="L15" s="147">
        <f>2300670-L16</f>
        <v>2121034</v>
      </c>
      <c r="M15" s="152">
        <f t="shared" si="2"/>
        <v>-6.6367708762363323E-2</v>
      </c>
    </row>
    <row r="16" spans="2:13" ht="27" x14ac:dyDescent="0.3">
      <c r="B16" s="143" t="s">
        <v>186</v>
      </c>
      <c r="C16" s="153">
        <v>122</v>
      </c>
      <c r="D16" s="154" t="s">
        <v>185</v>
      </c>
      <c r="E16" s="146"/>
      <c r="F16" s="147"/>
      <c r="G16" s="147"/>
      <c r="H16" s="148"/>
      <c r="I16" s="149"/>
      <c r="J16" s="150"/>
      <c r="K16" s="151"/>
      <c r="L16" s="147">
        <f>179636</f>
        <v>179636</v>
      </c>
      <c r="M16" s="152">
        <v>0</v>
      </c>
    </row>
    <row r="17" spans="2:13" x14ac:dyDescent="0.3">
      <c r="B17" s="136" t="s">
        <v>187</v>
      </c>
      <c r="C17" s="141">
        <v>131</v>
      </c>
      <c r="D17" s="145">
        <v>0</v>
      </c>
      <c r="E17" s="138">
        <v>3.9039999999999998E-2</v>
      </c>
      <c r="F17" s="55">
        <f t="shared" si="0"/>
        <v>0</v>
      </c>
      <c r="G17" s="55">
        <f>H17-F17</f>
        <v>0</v>
      </c>
      <c r="H17" s="110">
        <f>D17*I17</f>
        <v>0</v>
      </c>
      <c r="I17" s="139">
        <v>6.9100000000000003E-3</v>
      </c>
      <c r="J17" s="140">
        <f t="shared" si="1"/>
        <v>-3.2129999999999999E-2</v>
      </c>
      <c r="L17" s="55">
        <v>0</v>
      </c>
      <c r="M17" s="46">
        <v>0</v>
      </c>
    </row>
    <row r="18" spans="2:13" x14ac:dyDescent="0.3">
      <c r="B18" s="136" t="s">
        <v>187</v>
      </c>
      <c r="C18" s="141">
        <v>132</v>
      </c>
      <c r="D18" s="142" t="s">
        <v>185</v>
      </c>
      <c r="E18" s="138"/>
      <c r="F18" s="55"/>
      <c r="G18" s="55"/>
      <c r="H18" s="110"/>
      <c r="I18" s="139"/>
      <c r="J18" s="140"/>
      <c r="L18" s="55">
        <v>455758</v>
      </c>
      <c r="M18" s="46">
        <f t="shared" ref="M18:M19" si="3">G18/L18</f>
        <v>0</v>
      </c>
    </row>
    <row r="19" spans="2:13" x14ac:dyDescent="0.3">
      <c r="B19" s="136" t="s">
        <v>188</v>
      </c>
      <c r="C19" s="141">
        <v>146</v>
      </c>
      <c r="D19" s="142" t="s">
        <v>185</v>
      </c>
      <c r="E19" s="138"/>
      <c r="F19" s="55"/>
      <c r="G19" s="55"/>
      <c r="H19" s="110"/>
      <c r="I19" s="139"/>
      <c r="J19" s="140"/>
      <c r="L19" s="55">
        <v>3175045</v>
      </c>
      <c r="M19" s="46">
        <f t="shared" si="3"/>
        <v>0</v>
      </c>
    </row>
    <row r="20" spans="2:13" ht="27" x14ac:dyDescent="0.3">
      <c r="B20" s="143" t="s">
        <v>189</v>
      </c>
      <c r="C20" s="141">
        <v>148</v>
      </c>
      <c r="D20" s="142" t="s">
        <v>185</v>
      </c>
      <c r="E20" s="138"/>
      <c r="F20" s="55"/>
      <c r="G20" s="55"/>
      <c r="H20" s="110"/>
      <c r="I20" s="139"/>
      <c r="J20" s="140"/>
      <c r="L20" s="55">
        <v>1330027</v>
      </c>
      <c r="M20" s="46">
        <v>0</v>
      </c>
    </row>
    <row r="21" spans="2:13" x14ac:dyDescent="0.3">
      <c r="B21" s="136"/>
      <c r="C21" s="131"/>
      <c r="L21" s="55"/>
      <c r="M21" s="46"/>
    </row>
    <row r="22" spans="2:13" x14ac:dyDescent="0.3">
      <c r="B22" s="155" t="s">
        <v>64</v>
      </c>
      <c r="C22" s="131"/>
      <c r="D22" s="137">
        <f>SUM(D11:D17)</f>
        <v>185533073.16962782</v>
      </c>
      <c r="F22" s="110">
        <f>SUM(F11:F17)</f>
        <v>9363835.4939306565</v>
      </c>
      <c r="G22" s="110">
        <f>SUM(G11:G17)</f>
        <v>-12397702.64246444</v>
      </c>
      <c r="H22" s="110">
        <f>SUM(H11:H17)</f>
        <v>-3033867.1485337834</v>
      </c>
      <c r="L22" s="156">
        <f>SUM(L11:L20)</f>
        <v>140371588</v>
      </c>
      <c r="M22" s="46">
        <f t="shared" si="2"/>
        <v>-8.8320598342625012E-2</v>
      </c>
    </row>
    <row r="23" spans="2:13" x14ac:dyDescent="0.3">
      <c r="B23" s="155"/>
      <c r="C23" s="131"/>
      <c r="D23" s="137"/>
      <c r="F23" s="110"/>
      <c r="G23" s="110"/>
      <c r="H23" s="110"/>
      <c r="L23" s="156"/>
      <c r="M23" s="46"/>
    </row>
    <row r="24" spans="2:13" s="54" customFormat="1" x14ac:dyDescent="0.3">
      <c r="B24" s="54" t="s">
        <v>190</v>
      </c>
      <c r="D24" s="173">
        <f>D13+D15+D17</f>
        <v>59004175.950750321</v>
      </c>
      <c r="F24" s="176">
        <f>F13+F15+F17</f>
        <v>2303523.0291172923</v>
      </c>
      <c r="G24" s="176">
        <f t="shared" ref="G24:H24" si="4">G13+G15+G17</f>
        <v>-1895804.1732976073</v>
      </c>
      <c r="H24" s="176">
        <f t="shared" si="4"/>
        <v>407718.85581968469</v>
      </c>
      <c r="L24" s="176">
        <f t="shared" ref="L24" si="5">L13+L15+L17</f>
        <v>30930843</v>
      </c>
      <c r="M24" s="58">
        <f t="shared" si="2"/>
        <v>-6.1291707222386645E-2</v>
      </c>
    </row>
    <row r="26" spans="2:13" x14ac:dyDescent="0.3">
      <c r="B26" s="106" t="s">
        <v>224</v>
      </c>
      <c r="G26" s="46"/>
      <c r="H26" s="128" t="s">
        <v>191</v>
      </c>
      <c r="J26" s="169" t="s">
        <v>192</v>
      </c>
      <c r="K26" s="157"/>
    </row>
    <row r="27" spans="2:13" x14ac:dyDescent="0.3">
      <c r="B27" s="106" t="s">
        <v>203</v>
      </c>
      <c r="C27" s="106">
        <v>13</v>
      </c>
      <c r="D27" s="158">
        <v>97.25</v>
      </c>
      <c r="E27" s="158">
        <f>ROUND(C27*D27,2)</f>
        <v>1264.25</v>
      </c>
      <c r="G27" s="159"/>
      <c r="H27" s="160" t="s">
        <v>193</v>
      </c>
      <c r="I27" s="161">
        <v>9.5</v>
      </c>
      <c r="J27" s="161">
        <f>I27</f>
        <v>9.5</v>
      </c>
      <c r="K27" s="157"/>
      <c r="L27" s="122"/>
    </row>
    <row r="28" spans="2:13" x14ac:dyDescent="0.3">
      <c r="B28" s="106" t="s">
        <v>194</v>
      </c>
      <c r="C28" s="56">
        <v>2600</v>
      </c>
      <c r="D28" s="57">
        <v>0.29548999999999997</v>
      </c>
      <c r="E28" s="158">
        <f t="shared" ref="E28:E32" si="6">ROUND(C28*D28,2)</f>
        <v>768.27</v>
      </c>
      <c r="G28" s="46"/>
      <c r="H28" s="160" t="s">
        <v>195</v>
      </c>
      <c r="I28" s="57">
        <v>0.63319000000000003</v>
      </c>
      <c r="J28" s="170">
        <f>ROUND(65*I28,2)</f>
        <v>41.16</v>
      </c>
    </row>
    <row r="29" spans="2:13" x14ac:dyDescent="0.3">
      <c r="B29" s="106" t="s">
        <v>196</v>
      </c>
      <c r="C29" s="56">
        <v>10400</v>
      </c>
      <c r="D29" s="57">
        <v>0.62902999999999998</v>
      </c>
      <c r="E29" s="158">
        <f t="shared" si="6"/>
        <v>6541.91</v>
      </c>
      <c r="H29" s="160" t="s">
        <v>197</v>
      </c>
      <c r="I29" s="57">
        <v>0.74324999999999997</v>
      </c>
      <c r="J29" s="161">
        <f>ROUND(0*I29,2)</f>
        <v>0</v>
      </c>
    </row>
    <row r="30" spans="2:13" x14ac:dyDescent="0.3">
      <c r="B30" s="106" t="s">
        <v>198</v>
      </c>
      <c r="C30" s="56">
        <v>148869</v>
      </c>
      <c r="D30" s="57">
        <v>0.54973000000000005</v>
      </c>
      <c r="E30" s="158">
        <f t="shared" si="6"/>
        <v>81837.759999999995</v>
      </c>
      <c r="H30" s="128" t="s">
        <v>223</v>
      </c>
      <c r="J30" s="162">
        <f>SUM(J27:J29)</f>
        <v>50.66</v>
      </c>
    </row>
    <row r="31" spans="2:13" x14ac:dyDescent="0.3">
      <c r="B31" s="106" t="s">
        <v>225</v>
      </c>
      <c r="C31" s="165">
        <f>SUM(C28:C30)</f>
        <v>161869</v>
      </c>
      <c r="E31" s="163">
        <f>SUM(E27:E30)</f>
        <v>90412.19</v>
      </c>
      <c r="H31" s="160" t="s">
        <v>200</v>
      </c>
      <c r="I31" s="140">
        <f>J11</f>
        <v>-8.3000000000000004E-2</v>
      </c>
      <c r="J31" s="161">
        <f>ROUND(I31*65,2)</f>
        <v>-5.4</v>
      </c>
    </row>
    <row r="32" spans="2:13" x14ac:dyDescent="0.3">
      <c r="B32" s="106" t="s">
        <v>226</v>
      </c>
      <c r="C32" s="56">
        <v>14283</v>
      </c>
      <c r="D32" s="57">
        <v>0.55074000000000001</v>
      </c>
      <c r="E32" s="158">
        <f t="shared" si="6"/>
        <v>7866.22</v>
      </c>
      <c r="H32" s="128" t="s">
        <v>202</v>
      </c>
      <c r="J32" s="162">
        <f>J30+J31</f>
        <v>45.26</v>
      </c>
    </row>
    <row r="33" spans="2:12" x14ac:dyDescent="0.3">
      <c r="B33" s="106" t="s">
        <v>64</v>
      </c>
      <c r="C33" s="165">
        <f>SUM(C31:C32)</f>
        <v>176152</v>
      </c>
      <c r="E33" s="163">
        <f>SUM(E31:E32)</f>
        <v>98278.41</v>
      </c>
      <c r="H33" s="128" t="s">
        <v>227</v>
      </c>
      <c r="J33" s="46">
        <f>J31/J30</f>
        <v>-0.10659297275957365</v>
      </c>
      <c r="L33" s="157"/>
    </row>
    <row r="34" spans="2:12" x14ac:dyDescent="0.3">
      <c r="J34" s="164"/>
    </row>
    <row r="35" spans="2:12" x14ac:dyDescent="0.3">
      <c r="B35" s="106" t="s">
        <v>221</v>
      </c>
      <c r="J35" s="164"/>
    </row>
    <row r="36" spans="2:12" x14ac:dyDescent="0.3">
      <c r="B36" s="106" t="s">
        <v>203</v>
      </c>
      <c r="C36" s="106">
        <v>11</v>
      </c>
      <c r="D36" s="158">
        <v>240.44</v>
      </c>
      <c r="E36" s="158">
        <f>ROUND(C36*D36,2)</f>
        <v>2644.84</v>
      </c>
      <c r="J36" s="122"/>
    </row>
    <row r="37" spans="2:12" x14ac:dyDescent="0.3">
      <c r="B37" s="106" t="s">
        <v>194</v>
      </c>
      <c r="C37" s="56">
        <v>5500</v>
      </c>
      <c r="D37" s="57">
        <v>0.30313000000000001</v>
      </c>
      <c r="E37" s="158">
        <f t="shared" ref="E37:E41" si="7">ROUND(C37*D37,2)</f>
        <v>1667.22</v>
      </c>
      <c r="L37" s="46"/>
    </row>
    <row r="38" spans="2:12" x14ac:dyDescent="0.3">
      <c r="B38" s="106" t="s">
        <v>196</v>
      </c>
      <c r="C38" s="56">
        <v>5500</v>
      </c>
      <c r="D38" s="57">
        <v>0.65163000000000004</v>
      </c>
      <c r="E38" s="158">
        <f t="shared" si="7"/>
        <v>3583.97</v>
      </c>
    </row>
    <row r="39" spans="2:12" x14ac:dyDescent="0.3">
      <c r="B39" s="106" t="s">
        <v>198</v>
      </c>
      <c r="C39" s="56">
        <v>99000.000000000029</v>
      </c>
      <c r="D39" s="57">
        <v>0.57079999999999997</v>
      </c>
      <c r="E39" s="158">
        <f t="shared" si="7"/>
        <v>56509.2</v>
      </c>
    </row>
    <row r="40" spans="2:12" x14ac:dyDescent="0.3">
      <c r="B40" s="106" t="s">
        <v>199</v>
      </c>
      <c r="C40" s="56">
        <v>140573.64499999999</v>
      </c>
      <c r="D40" s="57">
        <v>0.52005000000000001</v>
      </c>
      <c r="E40" s="158">
        <f t="shared" si="7"/>
        <v>73105.320000000007</v>
      </c>
    </row>
    <row r="41" spans="2:12" x14ac:dyDescent="0.3">
      <c r="B41" s="106" t="s">
        <v>201</v>
      </c>
      <c r="C41" s="56">
        <v>94239.114000000001</v>
      </c>
      <c r="D41" s="57">
        <v>0.44700000000000001</v>
      </c>
      <c r="E41" s="158">
        <f t="shared" si="7"/>
        <v>42124.88</v>
      </c>
    </row>
    <row r="42" spans="2:12" x14ac:dyDescent="0.3">
      <c r="B42" s="106" t="s">
        <v>64</v>
      </c>
      <c r="C42" s="165">
        <f>SUM(C37:C41)</f>
        <v>344812.75900000002</v>
      </c>
      <c r="E42" s="163">
        <f>SUM(E36:E41)</f>
        <v>179635.43</v>
      </c>
    </row>
    <row r="43" spans="2:12" x14ac:dyDescent="0.3">
      <c r="B43" s="106" t="s">
        <v>228</v>
      </c>
      <c r="C43" s="42">
        <v>369498</v>
      </c>
    </row>
  </sheetData>
  <printOptions horizontalCentered="1"/>
  <pageMargins left="0.45" right="0.45" top="0.75" bottom="0.75" header="0.3" footer="0.55000000000000004"/>
  <pageSetup scale="75" orientation="landscape" r:id="rId1"/>
  <headerFooter>
    <oddFooter>&amp;CATTACHMENT A&amp;RPage 9 of 9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U74"/>
  <sheetViews>
    <sheetView topLeftCell="A13" workbookViewId="0">
      <selection activeCell="R26" sqref="R26:R63"/>
    </sheetView>
  </sheetViews>
  <sheetFormatPr defaultRowHeight="14.4" x14ac:dyDescent="0.3"/>
  <cols>
    <col min="1" max="1" width="23.77734375" customWidth="1"/>
    <col min="2" max="2" width="17.77734375" customWidth="1"/>
    <col min="3" max="3" width="14.21875" customWidth="1"/>
    <col min="4" max="4" width="19.88671875" customWidth="1"/>
    <col min="5" max="5" width="2" customWidth="1"/>
    <col min="6" max="6" width="2.21875" customWidth="1"/>
    <col min="7" max="7" width="24.109375" customWidth="1"/>
    <col min="8" max="8" width="17.6640625" customWidth="1"/>
    <col min="9" max="9" width="15.21875" customWidth="1"/>
    <col min="10" max="10" width="19.109375" customWidth="1"/>
    <col min="12" max="12" width="10.6640625" customWidth="1"/>
    <col min="16" max="16" width="26.5546875" customWidth="1"/>
    <col min="18" max="18" width="16.109375" customWidth="1"/>
    <col min="20" max="20" width="16.44140625" customWidth="1"/>
  </cols>
  <sheetData>
    <row r="1" spans="1:21" x14ac:dyDescent="0.3">
      <c r="A1" s="189" t="s">
        <v>0</v>
      </c>
      <c r="B1" s="189"/>
      <c r="C1" s="189"/>
      <c r="D1" s="189"/>
      <c r="E1" s="75"/>
      <c r="F1" s="63"/>
      <c r="G1" s="189" t="s">
        <v>0</v>
      </c>
      <c r="H1" s="189"/>
      <c r="I1" s="189"/>
      <c r="J1" s="189"/>
    </row>
    <row r="2" spans="1:21" x14ac:dyDescent="0.3">
      <c r="A2" s="189" t="s">
        <v>1</v>
      </c>
      <c r="B2" s="189"/>
      <c r="C2" s="189"/>
      <c r="D2" s="189"/>
      <c r="E2" s="75"/>
      <c r="F2" s="63"/>
      <c r="G2" s="189" t="s">
        <v>1</v>
      </c>
      <c r="H2" s="189"/>
      <c r="I2" s="189"/>
      <c r="J2" s="189"/>
    </row>
    <row r="3" spans="1:21" x14ac:dyDescent="0.3">
      <c r="A3" s="189" t="s">
        <v>98</v>
      </c>
      <c r="B3" s="189"/>
      <c r="C3" s="189"/>
      <c r="D3" s="189"/>
      <c r="E3" s="75"/>
      <c r="F3" s="63"/>
      <c r="G3" s="189" t="s">
        <v>98</v>
      </c>
      <c r="H3" s="189"/>
      <c r="I3" s="189"/>
      <c r="J3" s="189"/>
    </row>
    <row r="4" spans="1:21" x14ac:dyDescent="0.3">
      <c r="A4" s="35"/>
      <c r="B4" s="35"/>
      <c r="C4" s="35"/>
      <c r="D4" s="35"/>
      <c r="E4" s="35"/>
      <c r="F4" s="35"/>
      <c r="G4" s="35"/>
      <c r="H4" s="35"/>
      <c r="I4" s="35"/>
      <c r="J4" s="35"/>
    </row>
    <row r="5" spans="1:21" x14ac:dyDescent="0.3">
      <c r="A5" s="184" t="s">
        <v>5</v>
      </c>
      <c r="B5" s="184"/>
      <c r="C5" s="184"/>
      <c r="D5" s="184"/>
      <c r="E5" s="76"/>
      <c r="F5" s="35"/>
      <c r="G5" s="184" t="s">
        <v>16</v>
      </c>
      <c r="H5" s="184"/>
      <c r="I5" s="184"/>
      <c r="J5" s="184"/>
    </row>
    <row r="6" spans="1:21" ht="30" customHeight="1" x14ac:dyDescent="0.3">
      <c r="A6" s="78" t="s">
        <v>3</v>
      </c>
      <c r="B6" s="78" t="s">
        <v>7</v>
      </c>
      <c r="C6" s="78" t="s">
        <v>8</v>
      </c>
      <c r="D6" s="87" t="s">
        <v>137</v>
      </c>
      <c r="E6" s="78"/>
      <c r="F6" s="35"/>
      <c r="G6" s="78" t="s">
        <v>3</v>
      </c>
      <c r="H6" s="78" t="s">
        <v>7</v>
      </c>
      <c r="I6" s="78" t="s">
        <v>8</v>
      </c>
      <c r="J6" s="87" t="s">
        <v>131</v>
      </c>
    </row>
    <row r="7" spans="1:21" x14ac:dyDescent="0.3">
      <c r="A7" s="78"/>
      <c r="B7" s="78">
        <f>ROUND(B8/D22,5)</f>
        <v>2.0000000000000002E-5</v>
      </c>
      <c r="C7" s="33">
        <v>3.4599999999999999E-2</v>
      </c>
      <c r="D7" s="78"/>
      <c r="E7" s="78"/>
      <c r="F7" s="35"/>
      <c r="G7" s="78"/>
      <c r="H7" s="78">
        <f>ROUND(H8/J22,5)</f>
        <v>-1.0000000000000001E-5</v>
      </c>
      <c r="I7" s="33">
        <v>3.4599999999999999E-2</v>
      </c>
      <c r="J7" s="78"/>
      <c r="N7" s="79"/>
      <c r="P7" s="191" t="s">
        <v>107</v>
      </c>
      <c r="Q7" s="191"/>
      <c r="R7" s="191"/>
      <c r="S7" s="191"/>
      <c r="T7" s="191"/>
      <c r="U7" s="191"/>
    </row>
    <row r="8" spans="1:21" x14ac:dyDescent="0.3">
      <c r="A8" s="64">
        <v>43009</v>
      </c>
      <c r="B8" s="34">
        <f>'Nat Gas 2017 Rate Calc'!C71</f>
        <v>2080.1996485129639</v>
      </c>
      <c r="C8" s="34"/>
      <c r="D8" s="35"/>
      <c r="E8" s="35"/>
      <c r="F8" s="35"/>
      <c r="G8" s="64">
        <v>43009</v>
      </c>
      <c r="H8" s="34">
        <f>'Nat Gas 2017 Rate Calc'!I71</f>
        <v>-758.41587333019561</v>
      </c>
      <c r="I8" s="34"/>
      <c r="J8" s="35"/>
    </row>
    <row r="9" spans="1:21" x14ac:dyDescent="0.3">
      <c r="A9" s="64">
        <v>43040</v>
      </c>
      <c r="B9" s="34">
        <f>B8-($B$7*D9)</f>
        <v>1772.4458184302694</v>
      </c>
      <c r="C9" s="34">
        <f>(B8+B9)/2*($C$7/12)</f>
        <v>5.5542305481764949</v>
      </c>
      <c r="D9" s="56">
        <f>'wp6 14 18 Forecast Usage by Sch'!M9</f>
        <v>15387691.504134728</v>
      </c>
      <c r="E9" s="38"/>
      <c r="F9" s="35"/>
      <c r="G9" s="64">
        <v>43040</v>
      </c>
      <c r="H9" s="34">
        <f>H8-($H$7*J9)</f>
        <v>-682.19246480126333</v>
      </c>
      <c r="I9" s="34">
        <f>(H8+H9)/2*($I$7/12)</f>
        <v>-2.0768770208061862</v>
      </c>
      <c r="J9" s="42">
        <f>'wp6 14 18 Forecast Usage by Sch'!N9</f>
        <v>7622340.8528932277</v>
      </c>
      <c r="L9" s="56"/>
      <c r="M9" s="56"/>
      <c r="N9" s="56"/>
      <c r="P9" t="s">
        <v>60</v>
      </c>
      <c r="R9" s="82">
        <f>232958000+6405000</f>
        <v>239363000</v>
      </c>
      <c r="S9" s="46">
        <f>R9/R13</f>
        <v>0.51065522883834646</v>
      </c>
      <c r="T9" s="82">
        <f>120056000+3463000</f>
        <v>123519000</v>
      </c>
      <c r="U9" s="46">
        <f>T9/T13</f>
        <v>0.76292335424142377</v>
      </c>
    </row>
    <row r="10" spans="1:21" x14ac:dyDescent="0.3">
      <c r="A10" s="64">
        <v>43070</v>
      </c>
      <c r="B10" s="34">
        <f t="shared" ref="B10:B20" si="0">B9-($B$7*D10)</f>
        <v>1312.8959504021136</v>
      </c>
      <c r="C10" s="34">
        <f t="shared" ref="C10:C20" si="1">(B9+B10)/2*($C$7/12)</f>
        <v>4.4480343834000182</v>
      </c>
      <c r="D10" s="56">
        <f>'wp6 14 18 Forecast Usage by Sch'!M10</f>
        <v>22977493.401407786</v>
      </c>
      <c r="E10" s="38"/>
      <c r="F10" s="35"/>
      <c r="G10" s="64">
        <v>43070</v>
      </c>
      <c r="H10" s="34">
        <f t="shared" ref="H10:H20" si="2">H9-($H$7*J10)</f>
        <v>-590.07253104028075</v>
      </c>
      <c r="I10" s="34">
        <f t="shared" ref="I10:I20" si="3">(H9+H10)/2*($I$7/12)</f>
        <v>-1.8341820356715592</v>
      </c>
      <c r="J10" s="42">
        <f>'wp6 14 18 Forecast Usage by Sch'!N10</f>
        <v>9211993.3760982547</v>
      </c>
      <c r="L10" s="56"/>
      <c r="M10" s="56"/>
      <c r="N10" s="56"/>
      <c r="R10" s="83"/>
      <c r="T10" s="83"/>
    </row>
    <row r="11" spans="1:21" x14ac:dyDescent="0.3">
      <c r="A11" s="64">
        <v>43101</v>
      </c>
      <c r="B11" s="34">
        <f t="shared" si="0"/>
        <v>861.44809300349493</v>
      </c>
      <c r="C11" s="34">
        <f t="shared" si="1"/>
        <v>3.134679329243085</v>
      </c>
      <c r="D11" s="56">
        <f>'wp6 14 18 Forecast Usage by Sch'!M11</f>
        <v>22572392.86993093</v>
      </c>
      <c r="E11" s="38"/>
      <c r="F11" s="35"/>
      <c r="G11" s="64">
        <v>43101</v>
      </c>
      <c r="H11" s="34">
        <f t="shared" si="2"/>
        <v>-495.52546245791098</v>
      </c>
      <c r="I11" s="34">
        <f t="shared" si="3"/>
        <v>-1.5650704406265596</v>
      </c>
      <c r="J11" s="42">
        <f>'wp6 14 18 Forecast Usage by Sch'!N11</f>
        <v>9454706.8582369741</v>
      </c>
      <c r="L11" s="56"/>
      <c r="M11" s="56"/>
      <c r="N11" s="56"/>
      <c r="P11" t="s">
        <v>61</v>
      </c>
      <c r="R11" s="82">
        <f>77798000+141783000+13851000-4058000</f>
        <v>229374000</v>
      </c>
      <c r="S11" s="46">
        <f>R11/R13</f>
        <v>0.48934477116165354</v>
      </c>
      <c r="T11" s="82">
        <f>34290000+2990240+1103000</f>
        <v>38383240</v>
      </c>
      <c r="U11" s="46">
        <f>T11/T13</f>
        <v>0.23707664575857629</v>
      </c>
    </row>
    <row r="12" spans="1:21" x14ac:dyDescent="0.3">
      <c r="A12" s="64">
        <v>43132</v>
      </c>
      <c r="B12" s="34">
        <f t="shared" si="0"/>
        <v>500.55080941582145</v>
      </c>
      <c r="C12" s="34">
        <f t="shared" si="1"/>
        <v>1.9635484176545144</v>
      </c>
      <c r="D12" s="56">
        <f>'wp6 14 18 Forecast Usage by Sch'!M12</f>
        <v>18044864.179383673</v>
      </c>
      <c r="E12" s="38"/>
      <c r="F12" s="35"/>
      <c r="G12" s="64">
        <v>43132</v>
      </c>
      <c r="H12" s="34">
        <f t="shared" si="2"/>
        <v>-424.83047485559649</v>
      </c>
      <c r="I12" s="34">
        <f t="shared" si="3"/>
        <v>-1.3268464762936398</v>
      </c>
      <c r="J12" s="42">
        <f>'wp6 14 18 Forecast Usage by Sch'!N12</f>
        <v>7069498.7602314493</v>
      </c>
      <c r="L12" s="56"/>
      <c r="M12" s="56"/>
      <c r="N12" s="56"/>
    </row>
    <row r="13" spans="1:21" x14ac:dyDescent="0.3">
      <c r="A13" s="64">
        <v>43160</v>
      </c>
      <c r="B13" s="34">
        <f t="shared" si="0"/>
        <v>201.15442746928636</v>
      </c>
      <c r="C13" s="34">
        <f t="shared" si="1"/>
        <v>1.0116250498426971</v>
      </c>
      <c r="D13" s="56">
        <f>'wp6 14 18 Forecast Usage by Sch'!M13</f>
        <v>14969819.097326754</v>
      </c>
      <c r="E13" s="38"/>
      <c r="F13" s="35"/>
      <c r="G13" s="64">
        <v>43160</v>
      </c>
      <c r="H13" s="34">
        <f t="shared" si="2"/>
        <v>-360.69435650362306</v>
      </c>
      <c r="I13" s="34">
        <f t="shared" si="3"/>
        <v>-1.1324649652095415</v>
      </c>
      <c r="J13" s="42">
        <f>'wp6 14 18 Forecast Usage by Sch'!N13</f>
        <v>6413611.8351973426</v>
      </c>
      <c r="L13" s="56"/>
      <c r="M13" s="56"/>
      <c r="N13" s="56"/>
      <c r="P13" t="s">
        <v>62</v>
      </c>
      <c r="R13" s="48">
        <f>R9+R11</f>
        <v>468737000</v>
      </c>
      <c r="S13" s="47">
        <f>S9+S11</f>
        <v>1</v>
      </c>
      <c r="T13" s="48">
        <f>T9+T11</f>
        <v>161902240</v>
      </c>
      <c r="U13" s="47">
        <f>U9+U11</f>
        <v>1</v>
      </c>
    </row>
    <row r="14" spans="1:21" x14ac:dyDescent="0.3">
      <c r="A14" s="64">
        <v>43191</v>
      </c>
      <c r="B14" s="34">
        <f t="shared" si="0"/>
        <v>12.129024657910293</v>
      </c>
      <c r="C14" s="34">
        <f t="shared" si="1"/>
        <v>0.30748364348337515</v>
      </c>
      <c r="D14" s="56">
        <f>'wp6 14 18 Forecast Usage by Sch'!M14</f>
        <v>9451270.1405688021</v>
      </c>
      <c r="E14" s="38"/>
      <c r="F14" s="35"/>
      <c r="G14" s="64">
        <v>43191</v>
      </c>
      <c r="H14" s="34">
        <f t="shared" si="2"/>
        <v>-319.89363424913438</v>
      </c>
      <c r="I14" s="34">
        <f t="shared" si="3"/>
        <v>-0.98118102000189189</v>
      </c>
      <c r="J14" s="42">
        <f>'wp6 14 18 Forecast Usage by Sch'!N14</f>
        <v>4080072.2254488692</v>
      </c>
      <c r="L14" s="56"/>
      <c r="M14" s="56"/>
      <c r="N14" s="56"/>
    </row>
    <row r="15" spans="1:21" x14ac:dyDescent="0.3">
      <c r="A15" s="64">
        <v>43221</v>
      </c>
      <c r="B15" s="34">
        <f t="shared" si="0"/>
        <v>-88.48133040362886</v>
      </c>
      <c r="C15" s="34">
        <f t="shared" si="1"/>
        <v>-0.11007457411674426</v>
      </c>
      <c r="D15" s="56">
        <f>'wp6 14 18 Forecast Usage by Sch'!M15</f>
        <v>5030517.7530769575</v>
      </c>
      <c r="E15" s="38"/>
      <c r="F15" s="35"/>
      <c r="G15" s="64">
        <v>43221</v>
      </c>
      <c r="H15" s="34">
        <f t="shared" si="2"/>
        <v>-294.58813201799819</v>
      </c>
      <c r="I15" s="34">
        <f t="shared" si="3"/>
        <v>-0.88587787970178278</v>
      </c>
      <c r="J15" s="42">
        <f>'wp6 14 18 Forecast Usage by Sch'!N15</f>
        <v>2530550.2231136202</v>
      </c>
      <c r="L15" s="56"/>
      <c r="M15" s="56"/>
      <c r="N15" s="56"/>
      <c r="P15" s="54" t="s">
        <v>63</v>
      </c>
    </row>
    <row r="16" spans="1:21" x14ac:dyDescent="0.3">
      <c r="A16" s="64">
        <v>43252</v>
      </c>
      <c r="B16" s="34">
        <f t="shared" si="0"/>
        <v>-145.40766820546506</v>
      </c>
      <c r="C16" s="34">
        <f t="shared" si="1"/>
        <v>-0.33718997299477704</v>
      </c>
      <c r="D16" s="56">
        <f>'wp6 14 18 Forecast Usage by Sch'!M16</f>
        <v>2846316.8900918099</v>
      </c>
      <c r="E16" s="38"/>
      <c r="F16" s="35"/>
      <c r="G16" s="64">
        <v>43252</v>
      </c>
      <c r="H16" s="34">
        <f t="shared" si="2"/>
        <v>-277.00418802834218</v>
      </c>
      <c r="I16" s="34">
        <f t="shared" si="3"/>
        <v>-0.82404559473347394</v>
      </c>
      <c r="J16" s="42">
        <f>'wp6 14 18 Forecast Usage by Sch'!N16</f>
        <v>1758394.3989656011</v>
      </c>
      <c r="L16" s="56"/>
      <c r="M16" s="56"/>
      <c r="N16" s="56"/>
      <c r="P16" t="s">
        <v>65</v>
      </c>
      <c r="R16" s="48">
        <v>0</v>
      </c>
      <c r="T16" s="48">
        <v>0</v>
      </c>
    </row>
    <row r="17" spans="1:20" x14ac:dyDescent="0.3">
      <c r="A17" s="64">
        <v>43282</v>
      </c>
      <c r="B17" s="34">
        <f t="shared" si="0"/>
        <v>-189.09576828118063</v>
      </c>
      <c r="C17" s="34">
        <f t="shared" si="1"/>
        <v>-0.48224245426824752</v>
      </c>
      <c r="D17" s="56">
        <f>'wp6 14 18 Forecast Usage by Sch'!M17</f>
        <v>2184405.0037857783</v>
      </c>
      <c r="E17" s="38"/>
      <c r="F17" s="35"/>
      <c r="G17" s="64">
        <v>43282</v>
      </c>
      <c r="H17" s="34">
        <f t="shared" si="2"/>
        <v>-258.12063933214034</v>
      </c>
      <c r="I17" s="34">
        <f t="shared" si="3"/>
        <v>-0.77147162611136233</v>
      </c>
      <c r="J17" s="42">
        <f>'wp6 14 18 Forecast Usage by Sch'!N17</f>
        <v>1888354.8696201844</v>
      </c>
      <c r="L17" s="56"/>
      <c r="M17" s="56"/>
      <c r="N17" s="56"/>
      <c r="P17" t="s">
        <v>97</v>
      </c>
      <c r="R17" s="48">
        <v>0</v>
      </c>
      <c r="T17" s="48">
        <v>0</v>
      </c>
    </row>
    <row r="18" spans="1:20" x14ac:dyDescent="0.3">
      <c r="A18" s="64">
        <v>43313</v>
      </c>
      <c r="B18" s="34">
        <f t="shared" si="0"/>
        <v>-238.68852445626462</v>
      </c>
      <c r="C18" s="34">
        <f t="shared" si="1"/>
        <v>-0.61672235536315023</v>
      </c>
      <c r="D18" s="56">
        <f>'wp6 14 18 Forecast Usage by Sch'!M18</f>
        <v>2479637.8087541997</v>
      </c>
      <c r="E18" s="38"/>
      <c r="F18" s="35"/>
      <c r="G18" s="64">
        <v>43313</v>
      </c>
      <c r="H18" s="34">
        <f t="shared" si="2"/>
        <v>-241.94416236800373</v>
      </c>
      <c r="I18" s="34">
        <f t="shared" si="3"/>
        <v>-0.72092675578437437</v>
      </c>
      <c r="J18" s="42">
        <f>'wp6 14 18 Forecast Usage by Sch'!N18</f>
        <v>1617647.6964136595</v>
      </c>
      <c r="L18" s="56"/>
      <c r="M18" s="56"/>
      <c r="N18" s="56"/>
      <c r="P18" t="s">
        <v>64</v>
      </c>
      <c r="R18" s="52">
        <f>SUM(R16:R17)</f>
        <v>0</v>
      </c>
      <c r="T18" s="52">
        <f>SUM(T16:T17)</f>
        <v>0</v>
      </c>
    </row>
    <row r="19" spans="1:20" x14ac:dyDescent="0.3">
      <c r="A19" s="64">
        <v>43344</v>
      </c>
      <c r="B19" s="34">
        <f t="shared" si="0"/>
        <v>-289.24332643851352</v>
      </c>
      <c r="C19" s="34">
        <f t="shared" si="1"/>
        <v>-0.76110175170663841</v>
      </c>
      <c r="D19" s="56">
        <f>'wp6 14 18 Forecast Usage by Sch'!M19</f>
        <v>2527740.0991124446</v>
      </c>
      <c r="E19" s="38"/>
      <c r="F19" s="35"/>
      <c r="G19" s="64">
        <v>43344</v>
      </c>
      <c r="H19" s="34">
        <f t="shared" si="2"/>
        <v>-217.00036661670177</v>
      </c>
      <c r="I19" s="34">
        <f t="shared" si="3"/>
        <v>-0.66164502928628366</v>
      </c>
      <c r="J19" s="42">
        <f>'wp6 14 18 Forecast Usage by Sch'!N19</f>
        <v>2494379.5751301972</v>
      </c>
      <c r="L19" s="56"/>
      <c r="M19" s="56"/>
      <c r="N19" s="56"/>
    </row>
    <row r="20" spans="1:20" x14ac:dyDescent="0.3">
      <c r="A20" s="64">
        <v>43374</v>
      </c>
      <c r="B20" s="34">
        <f t="shared" si="0"/>
        <v>-450.37829586458616</v>
      </c>
      <c r="C20" s="34">
        <f t="shared" si="1"/>
        <v>-1.0662878388203021</v>
      </c>
      <c r="D20" s="56">
        <f>'wp6 14 18 Forecast Usage by Sch'!M20</f>
        <v>8056748.4713036316</v>
      </c>
      <c r="E20" s="38"/>
      <c r="F20" s="35"/>
      <c r="G20" s="64">
        <v>43374</v>
      </c>
      <c r="H20" s="34">
        <f t="shared" si="2"/>
        <v>-168.37411382269238</v>
      </c>
      <c r="I20" s="34">
        <f t="shared" si="3"/>
        <v>-0.55558154263345982</v>
      </c>
      <c r="J20" s="42">
        <f>'wp6 14 18 Forecast Usage by Sch'!N20</f>
        <v>4862625.2794009373</v>
      </c>
      <c r="L20" s="56"/>
      <c r="M20" s="56"/>
      <c r="N20" s="56"/>
      <c r="P20" s="54" t="s">
        <v>71</v>
      </c>
    </row>
    <row r="21" spans="1:20" x14ac:dyDescent="0.3">
      <c r="A21" s="35"/>
      <c r="B21" s="35"/>
      <c r="C21" s="35"/>
      <c r="D21" s="35"/>
      <c r="E21" s="35"/>
      <c r="F21" s="35"/>
      <c r="G21" s="35"/>
      <c r="H21" s="35"/>
      <c r="I21" s="35"/>
      <c r="J21" s="35"/>
      <c r="P21" t="s">
        <v>138</v>
      </c>
    </row>
    <row r="22" spans="1:20" x14ac:dyDescent="0.3">
      <c r="A22" s="35" t="s">
        <v>6</v>
      </c>
      <c r="B22" s="35"/>
      <c r="C22" s="34">
        <f>SUM(C9:C21)</f>
        <v>13.045982424530326</v>
      </c>
      <c r="D22" s="43">
        <f>SUM(D9:D21)</f>
        <v>126528897.21887749</v>
      </c>
      <c r="E22" s="43"/>
      <c r="F22" s="35"/>
      <c r="G22" s="35" t="s">
        <v>6</v>
      </c>
      <c r="H22" s="35"/>
      <c r="I22" s="34">
        <f>SUM(I9:I21)</f>
        <v>-13.336170386860113</v>
      </c>
      <c r="J22" s="43">
        <f>SUM(J9:J21)</f>
        <v>59004175.950750314</v>
      </c>
      <c r="P22" t="s">
        <v>65</v>
      </c>
      <c r="R22" s="56">
        <f>'Electric 2015 Rate Calc'!T5</f>
        <v>0</v>
      </c>
      <c r="T22" s="56">
        <f>D22</f>
        <v>126528897.21887749</v>
      </c>
    </row>
    <row r="23" spans="1:20" ht="17.399999999999999" customHeight="1" x14ac:dyDescent="0.3">
      <c r="A23" s="35"/>
      <c r="B23" s="35"/>
      <c r="C23" s="34"/>
      <c r="D23" s="43"/>
      <c r="E23" s="43"/>
      <c r="F23" s="35"/>
      <c r="G23" s="35"/>
      <c r="H23" s="35"/>
      <c r="I23" s="34"/>
      <c r="J23" s="43"/>
      <c r="P23" t="s">
        <v>97</v>
      </c>
      <c r="R23" s="56">
        <f>'Electric 2015 Rate Calc'!Z5</f>
        <v>0</v>
      </c>
      <c r="T23" s="56">
        <f>J22</f>
        <v>59004175.950750314</v>
      </c>
    </row>
    <row r="24" spans="1:20" ht="27" customHeight="1" x14ac:dyDescent="0.3">
      <c r="A24" s="186" t="s">
        <v>10</v>
      </c>
      <c r="B24" s="186"/>
      <c r="C24" s="36">
        <f>ROUND(C22/D22,5)</f>
        <v>0</v>
      </c>
      <c r="D24" s="43"/>
      <c r="E24" s="43"/>
      <c r="F24" s="35"/>
      <c r="G24" s="186" t="s">
        <v>10</v>
      </c>
      <c r="H24" s="186"/>
      <c r="I24" s="36">
        <f>ROUND(I22/J22,5)</f>
        <v>0</v>
      </c>
      <c r="J24" s="43"/>
    </row>
    <row r="25" spans="1:20" ht="28.2" customHeight="1" x14ac:dyDescent="0.3">
      <c r="A25" s="186" t="s">
        <v>11</v>
      </c>
      <c r="B25" s="186"/>
      <c r="C25" s="36">
        <f>B7</f>
        <v>2.0000000000000002E-5</v>
      </c>
      <c r="D25" s="43"/>
      <c r="E25" s="43"/>
      <c r="F25" s="35"/>
      <c r="G25" s="186" t="s">
        <v>11</v>
      </c>
      <c r="H25" s="186"/>
      <c r="I25" s="36">
        <f>H7</f>
        <v>-1.0000000000000001E-5</v>
      </c>
      <c r="J25" s="43"/>
      <c r="P25" t="s">
        <v>66</v>
      </c>
    </row>
    <row r="26" spans="1:20" ht="28.8" customHeight="1" x14ac:dyDescent="0.3">
      <c r="A26" s="186" t="s">
        <v>12</v>
      </c>
      <c r="B26" s="186"/>
      <c r="C26" s="36">
        <f>C24+C25</f>
        <v>2.0000000000000002E-5</v>
      </c>
      <c r="D26" s="44"/>
      <c r="E26" s="44"/>
      <c r="F26" s="35"/>
      <c r="G26" s="186" t="s">
        <v>12</v>
      </c>
      <c r="H26" s="186"/>
      <c r="I26" s="36">
        <f>I24+I25</f>
        <v>-1.0000000000000001E-5</v>
      </c>
      <c r="J26" s="44"/>
      <c r="P26" t="s">
        <v>65</v>
      </c>
      <c r="R26" s="57"/>
      <c r="T26" s="57">
        <f>C28</f>
        <v>2.0000000000000002E-5</v>
      </c>
    </row>
    <row r="27" spans="1:20" ht="28.8" customHeight="1" x14ac:dyDescent="0.3">
      <c r="A27" s="187" t="s">
        <v>13</v>
      </c>
      <c r="B27" s="187"/>
      <c r="C27" s="37">
        <f>'Conversion Factors'!$E$114</f>
        <v>1.0474920000000001</v>
      </c>
      <c r="D27" s="43"/>
      <c r="E27" s="43"/>
      <c r="F27" s="35"/>
      <c r="G27" s="187" t="s">
        <v>13</v>
      </c>
      <c r="H27" s="187"/>
      <c r="I27" s="37">
        <f>C27</f>
        <v>1.0474920000000001</v>
      </c>
      <c r="J27" s="43"/>
      <c r="P27" t="s">
        <v>97</v>
      </c>
      <c r="R27" s="57"/>
      <c r="T27" s="57">
        <f>I28</f>
        <v>-1.0000000000000001E-5</v>
      </c>
    </row>
    <row r="28" spans="1:20" ht="27" customHeight="1" x14ac:dyDescent="0.3">
      <c r="A28" s="35" t="s">
        <v>89</v>
      </c>
      <c r="B28" s="35"/>
      <c r="C28" s="36">
        <f>ROUND(C26*C27,5)</f>
        <v>2.0000000000000002E-5</v>
      </c>
      <c r="D28" s="43"/>
      <c r="E28" s="43"/>
      <c r="F28" s="35"/>
      <c r="G28" s="35" t="s">
        <v>89</v>
      </c>
      <c r="H28" s="35"/>
      <c r="I28" s="36">
        <f>ROUND(I26*I27,5)</f>
        <v>-1.0000000000000001E-5</v>
      </c>
      <c r="J28" s="43"/>
    </row>
    <row r="29" spans="1:20" ht="27" customHeight="1" x14ac:dyDescent="0.3">
      <c r="A29" s="35" t="s">
        <v>77</v>
      </c>
      <c r="B29" s="35"/>
      <c r="C29" s="36">
        <f>T50</f>
        <v>0</v>
      </c>
      <c r="D29" s="43"/>
      <c r="E29" s="43"/>
      <c r="F29" s="35"/>
      <c r="G29" s="35" t="s">
        <v>77</v>
      </c>
      <c r="H29" s="35"/>
      <c r="I29" s="36">
        <f>T51</f>
        <v>0</v>
      </c>
      <c r="J29" s="43"/>
      <c r="P29" t="s">
        <v>68</v>
      </c>
    </row>
    <row r="30" spans="1:20" ht="27" customHeight="1" x14ac:dyDescent="0.3">
      <c r="A30" s="35" t="s">
        <v>78</v>
      </c>
      <c r="B30" s="35"/>
      <c r="C30" s="36">
        <f>C28+C29</f>
        <v>2.0000000000000002E-5</v>
      </c>
      <c r="D30" s="43" t="s">
        <v>15</v>
      </c>
      <c r="E30" s="43"/>
      <c r="F30" s="35"/>
      <c r="G30" s="35" t="s">
        <v>78</v>
      </c>
      <c r="H30" s="35"/>
      <c r="I30" s="36">
        <f>I28+I29</f>
        <v>-1.0000000000000001E-5</v>
      </c>
      <c r="J30" s="43" t="s">
        <v>15</v>
      </c>
      <c r="P30" t="s">
        <v>65</v>
      </c>
      <c r="R30" s="57"/>
      <c r="T30" s="57">
        <f>'Nat Gas 2017 Rate Calc'!D30</f>
        <v>-2.7199999999999998E-2</v>
      </c>
    </row>
    <row r="31" spans="1:20" ht="27" customHeight="1" x14ac:dyDescent="0.3">
      <c r="A31" s="35"/>
      <c r="B31" s="39" t="s">
        <v>85</v>
      </c>
      <c r="C31" s="36">
        <f>ROUND(C30*'Conversion Factors'!$E$108,5)</f>
        <v>2.0000000000000002E-5</v>
      </c>
      <c r="D31" s="43" t="s">
        <v>14</v>
      </c>
      <c r="E31" s="43"/>
      <c r="F31" s="35"/>
      <c r="G31" s="35"/>
      <c r="H31" s="39" t="s">
        <v>85</v>
      </c>
      <c r="I31" s="36">
        <f>ROUND(I30*'Conversion Factors'!$E$108,5)</f>
        <v>-1.0000000000000001E-5</v>
      </c>
      <c r="J31" s="43" t="s">
        <v>14</v>
      </c>
      <c r="P31" t="s">
        <v>97</v>
      </c>
      <c r="R31" s="57"/>
      <c r="T31" s="57">
        <f>'Nat Gas 2017 Rate Calc'!J30</f>
        <v>6.9100000000000003E-3</v>
      </c>
    </row>
    <row r="32" spans="1:20" ht="27" customHeight="1" x14ac:dyDescent="0.3">
      <c r="A32" s="35" t="s">
        <v>88</v>
      </c>
      <c r="B32" s="35"/>
      <c r="C32" s="34">
        <f>B60</f>
        <v>-436.88510771032873</v>
      </c>
      <c r="D32" s="43"/>
      <c r="E32" s="43"/>
      <c r="F32" s="35"/>
      <c r="G32" s="35" t="s">
        <v>79</v>
      </c>
      <c r="H32" s="35"/>
      <c r="I32" s="34">
        <f>H60</f>
        <v>-181.97799939996844</v>
      </c>
      <c r="J32" s="43"/>
    </row>
    <row r="33" spans="1:20" ht="14.55" customHeight="1" x14ac:dyDescent="0.3">
      <c r="A33" s="35"/>
      <c r="B33" s="35"/>
      <c r="C33" s="34"/>
      <c r="D33" s="43"/>
      <c r="E33" s="43"/>
      <c r="F33" s="35"/>
      <c r="G33" s="35"/>
      <c r="H33" s="35"/>
      <c r="I33" s="34"/>
      <c r="J33" s="43"/>
      <c r="P33" t="s">
        <v>69</v>
      </c>
    </row>
    <row r="34" spans="1:20" ht="14.55" customHeight="1" x14ac:dyDescent="0.3">
      <c r="A34" s="65" t="s">
        <v>80</v>
      </c>
      <c r="B34" s="35"/>
      <c r="C34" s="34"/>
      <c r="D34" s="43"/>
      <c r="E34" s="43"/>
      <c r="F34" s="35"/>
      <c r="G34" s="65" t="s">
        <v>80</v>
      </c>
      <c r="H34" s="35"/>
      <c r="I34" s="34"/>
      <c r="J34" s="43"/>
      <c r="P34" t="s">
        <v>65</v>
      </c>
      <c r="R34" s="57"/>
      <c r="T34" s="57">
        <f>T26-T30</f>
        <v>2.7219999999999998E-2</v>
      </c>
    </row>
    <row r="35" spans="1:20" ht="34.200000000000003" customHeight="1" x14ac:dyDescent="0.3">
      <c r="A35" s="182" t="str">
        <f>"(1)  Deferral balance at the end of the month, Rate of "&amp;TEXT(C25,"$0.00000")&amp;" to recover the October 2016 
       balance of "&amp;TEXT(B8,"$000,000")&amp;" over 12 months."</f>
        <v>(1)  Deferral balance at the end of the month, Rate of $0.00002 to recover the October 2016 
       balance of $002,080 over 12 months.</v>
      </c>
      <c r="B35" s="182"/>
      <c r="C35" s="182"/>
      <c r="D35" s="182"/>
      <c r="E35" s="43"/>
      <c r="F35" s="35"/>
      <c r="G35" s="182" t="str">
        <f>"(1)  Deferral balance at the end of the month, Rate of "&amp;TEXT(I25,"$0.00000")&amp;" to recover the October 2016 
       balance of "&amp;TEXT(H8,"$000,000")&amp;" over 12 months."</f>
        <v>(1)  Deferral balance at the end of the month, Rate of -$0.00001 to recover the October 2016 
       balance of -$000,758 over 12 months.</v>
      </c>
      <c r="H35" s="182"/>
      <c r="I35" s="182"/>
      <c r="J35" s="182"/>
      <c r="P35" t="s">
        <v>97</v>
      </c>
      <c r="R35" s="57"/>
      <c r="T35" s="57">
        <f>T27-T31</f>
        <v>-6.9199999999999999E-3</v>
      </c>
    </row>
    <row r="36" spans="1:20" ht="36" customHeight="1" x14ac:dyDescent="0.3">
      <c r="A36" s="182" t="s">
        <v>81</v>
      </c>
      <c r="B36" s="182"/>
      <c r="C36" s="182"/>
      <c r="D36" s="182"/>
      <c r="E36" s="43"/>
      <c r="F36" s="35"/>
      <c r="G36" s="182" t="s">
        <v>81</v>
      </c>
      <c r="H36" s="182"/>
      <c r="I36" s="182"/>
      <c r="J36" s="182"/>
    </row>
    <row r="37" spans="1:20" ht="15.6" customHeight="1" x14ac:dyDescent="0.3">
      <c r="A37" s="69" t="s">
        <v>86</v>
      </c>
      <c r="B37" s="77"/>
      <c r="C37" s="77"/>
      <c r="D37" s="77"/>
      <c r="E37" s="43"/>
      <c r="F37" s="35"/>
      <c r="G37" s="69" t="s">
        <v>86</v>
      </c>
      <c r="H37" s="77"/>
      <c r="I37" s="77"/>
      <c r="J37" s="77"/>
      <c r="P37" t="s">
        <v>70</v>
      </c>
      <c r="R37" s="55"/>
      <c r="T37" s="55">
        <f>T38+T39</f>
        <v>3035807.6847186531</v>
      </c>
    </row>
    <row r="38" spans="1:20" ht="18.600000000000001" customHeight="1" x14ac:dyDescent="0.3">
      <c r="A38" s="182" t="s">
        <v>90</v>
      </c>
      <c r="B38" s="182"/>
      <c r="C38" s="182"/>
      <c r="D38" s="182"/>
      <c r="E38" s="43"/>
      <c r="F38" s="35"/>
      <c r="G38" s="182" t="s">
        <v>90</v>
      </c>
      <c r="H38" s="182"/>
      <c r="I38" s="182"/>
      <c r="J38" s="182"/>
      <c r="P38" t="s">
        <v>65</v>
      </c>
      <c r="R38" s="55"/>
      <c r="T38" s="55">
        <f>T34*T22</f>
        <v>3444116.5822978453</v>
      </c>
    </row>
    <row r="39" spans="1:20" ht="21" customHeight="1" x14ac:dyDescent="0.3">
      <c r="A39" s="182" t="s">
        <v>91</v>
      </c>
      <c r="B39" s="182"/>
      <c r="C39" s="182"/>
      <c r="D39" s="182"/>
      <c r="E39" s="43"/>
      <c r="F39" s="35"/>
      <c r="G39" s="182" t="s">
        <v>91</v>
      </c>
      <c r="H39" s="182"/>
      <c r="I39" s="182"/>
      <c r="J39" s="182"/>
      <c r="P39" t="s">
        <v>97</v>
      </c>
      <c r="R39" s="55"/>
      <c r="T39" s="55">
        <f>T35*T23</f>
        <v>-408308.89757919218</v>
      </c>
    </row>
    <row r="40" spans="1:20" ht="18.600000000000001" customHeight="1" x14ac:dyDescent="0.3">
      <c r="A40" s="182" t="s">
        <v>92</v>
      </c>
      <c r="B40" s="182"/>
      <c r="C40" s="182"/>
      <c r="D40" s="182"/>
      <c r="E40" s="43"/>
      <c r="F40" s="35"/>
      <c r="G40" s="182" t="s">
        <v>92</v>
      </c>
      <c r="H40" s="182"/>
      <c r="I40" s="182"/>
      <c r="J40" s="182"/>
      <c r="R40" s="55"/>
      <c r="T40" s="55"/>
    </row>
    <row r="41" spans="1:20" ht="14.55" customHeight="1" x14ac:dyDescent="0.3">
      <c r="A41" s="35"/>
      <c r="B41" s="35"/>
      <c r="C41" s="34"/>
      <c r="D41" s="43"/>
      <c r="E41" s="43"/>
      <c r="F41" s="35"/>
      <c r="G41" s="35"/>
      <c r="H41" s="35"/>
      <c r="I41" s="34"/>
      <c r="J41" s="43"/>
      <c r="P41" t="s">
        <v>72</v>
      </c>
      <c r="R41" s="58"/>
      <c r="T41" s="58"/>
    </row>
    <row r="42" spans="1:20" x14ac:dyDescent="0.3">
      <c r="A42" s="35"/>
      <c r="B42" s="35"/>
      <c r="C42" s="34"/>
      <c r="D42" s="43"/>
      <c r="E42" s="43"/>
      <c r="F42" s="35"/>
      <c r="G42" s="35"/>
      <c r="H42" s="35"/>
      <c r="I42" s="34"/>
      <c r="J42" s="43"/>
      <c r="P42" t="s">
        <v>65</v>
      </c>
      <c r="R42" s="58"/>
      <c r="T42" s="58">
        <f>T38/T9</f>
        <v>2.7883293924803838E-2</v>
      </c>
    </row>
    <row r="43" spans="1:20" ht="27.6" customHeight="1" x14ac:dyDescent="0.3">
      <c r="A43" s="190" t="str">
        <f>A5</f>
        <v>Residential Natural Gas</v>
      </c>
      <c r="B43" s="190"/>
      <c r="C43" s="190"/>
      <c r="D43" s="190"/>
      <c r="E43" s="78"/>
      <c r="F43" s="35"/>
      <c r="G43" s="190" t="str">
        <f>G5</f>
        <v>Non-Residential Natural Gas</v>
      </c>
      <c r="H43" s="190"/>
      <c r="I43" s="190"/>
      <c r="J43" s="190"/>
      <c r="P43" t="s">
        <v>97</v>
      </c>
      <c r="R43" s="58"/>
      <c r="T43" s="58">
        <f>T39/T11</f>
        <v>-1.0637687114980188E-2</v>
      </c>
    </row>
    <row r="44" spans="1:20" x14ac:dyDescent="0.3">
      <c r="A44" s="184" t="s">
        <v>82</v>
      </c>
      <c r="B44" s="184"/>
      <c r="C44" s="184"/>
      <c r="D44" s="184"/>
      <c r="E44" s="35"/>
      <c r="F44" s="35"/>
      <c r="G44" s="184" t="s">
        <v>83</v>
      </c>
      <c r="H44" s="184"/>
      <c r="I44" s="184"/>
      <c r="J44" s="184"/>
    </row>
    <row r="45" spans="1:20" x14ac:dyDescent="0.3">
      <c r="A45" s="35"/>
      <c r="B45" s="78" t="s">
        <v>9</v>
      </c>
      <c r="C45" s="78" t="s">
        <v>4</v>
      </c>
      <c r="D45" s="76" t="s">
        <v>84</v>
      </c>
      <c r="E45" s="76"/>
      <c r="F45" s="35"/>
      <c r="G45" s="35"/>
      <c r="H45" s="78" t="s">
        <v>9</v>
      </c>
      <c r="I45" s="78" t="s">
        <v>4</v>
      </c>
      <c r="J45" s="76" t="s">
        <v>84</v>
      </c>
      <c r="P45" t="s">
        <v>95</v>
      </c>
      <c r="R45" s="48"/>
      <c r="T45" s="48"/>
    </row>
    <row r="46" spans="1:20" x14ac:dyDescent="0.3">
      <c r="A46" s="35"/>
      <c r="B46" s="35"/>
      <c r="C46" s="68" t="s">
        <v>87</v>
      </c>
      <c r="D46" s="35"/>
      <c r="E46" s="35"/>
      <c r="F46" s="35"/>
      <c r="G46" s="35"/>
      <c r="H46" s="35"/>
      <c r="I46" s="68" t="str">
        <f>C46</f>
        <v>3.25% / 3.46%</v>
      </c>
      <c r="J46" s="35"/>
      <c r="P46" t="s">
        <v>65</v>
      </c>
      <c r="R46" s="48"/>
      <c r="T46" s="48">
        <f>IF(T42&gt;0.03,T9*0.03-T38,0)</f>
        <v>0</v>
      </c>
    </row>
    <row r="47" spans="1:20" x14ac:dyDescent="0.3">
      <c r="A47" s="64"/>
      <c r="B47" s="34"/>
      <c r="C47" s="35"/>
      <c r="D47" s="35"/>
      <c r="E47" s="35"/>
      <c r="F47" s="35"/>
      <c r="G47" s="64"/>
      <c r="H47" s="34"/>
      <c r="I47" s="35"/>
      <c r="J47" s="35"/>
      <c r="P47" t="s">
        <v>97</v>
      </c>
      <c r="R47" s="48"/>
      <c r="T47" s="48">
        <f>IF(T35&gt;0.03,T11*0.03-T39,0)</f>
        <v>0</v>
      </c>
    </row>
    <row r="48" spans="1:20" x14ac:dyDescent="0.3">
      <c r="A48" s="66">
        <v>43009</v>
      </c>
      <c r="B48" s="67">
        <f>'Nat Gas 2017 Rate Calc'!C71</f>
        <v>2080.1996485129639</v>
      </c>
      <c r="C48" s="34"/>
      <c r="D48" s="35"/>
      <c r="E48" s="35"/>
      <c r="F48" s="35"/>
      <c r="G48" s="66">
        <v>43009</v>
      </c>
      <c r="H48" s="67">
        <f>'Nat Gas 2017 Rate Calc'!I71</f>
        <v>-758.41587333019561</v>
      </c>
      <c r="I48" s="34"/>
      <c r="J48" s="35"/>
    </row>
    <row r="49" spans="1:21" x14ac:dyDescent="0.3">
      <c r="A49" s="64">
        <v>43040</v>
      </c>
      <c r="B49" s="34">
        <f>B48+C49-D49</f>
        <v>1778.0000489784456</v>
      </c>
      <c r="C49" s="34">
        <f t="shared" ref="C49:C60" si="4">(B48-D49/2)*0.0346/12</f>
        <v>5.5542305481764949</v>
      </c>
      <c r="D49" s="34">
        <f t="shared" ref="D49:D60" si="5">D9*C$31</f>
        <v>307.75383008269461</v>
      </c>
      <c r="E49" s="34"/>
      <c r="F49" s="35"/>
      <c r="G49" s="64">
        <v>43040</v>
      </c>
      <c r="H49" s="34">
        <f t="shared" ref="H49:H60" si="6">H48+I49-J49</f>
        <v>-684.26934182206946</v>
      </c>
      <c r="I49" s="34">
        <f t="shared" ref="I49:I60" si="7">(H48-J49/2)*0.0346/12</f>
        <v>-2.0768770208061862</v>
      </c>
      <c r="J49" s="34">
        <f t="shared" ref="J49:J60" si="8">J9*I$31</f>
        <v>-76.223408528932282</v>
      </c>
      <c r="P49" t="s">
        <v>73</v>
      </c>
    </row>
    <row r="50" spans="1:21" x14ac:dyDescent="0.3">
      <c r="A50" s="64">
        <v>43070</v>
      </c>
      <c r="B50" s="34">
        <f t="shared" ref="B50:B60" si="9">B49+C50-D50</f>
        <v>1322.9142300317706</v>
      </c>
      <c r="C50" s="34">
        <f t="shared" si="4"/>
        <v>4.4640490814805931</v>
      </c>
      <c r="D50" s="34">
        <f t="shared" si="5"/>
        <v>459.54986802815574</v>
      </c>
      <c r="E50" s="34"/>
      <c r="F50" s="35"/>
      <c r="G50" s="64">
        <v>43070</v>
      </c>
      <c r="H50" s="34">
        <f t="shared" si="6"/>
        <v>-593.9895784255018</v>
      </c>
      <c r="I50" s="34">
        <f t="shared" si="7"/>
        <v>-1.8401703644148837</v>
      </c>
      <c r="J50" s="34">
        <f t="shared" si="8"/>
        <v>-92.119933760982548</v>
      </c>
      <c r="P50" t="s">
        <v>65</v>
      </c>
      <c r="R50" s="57"/>
      <c r="T50" s="57">
        <f>ROUND(T46/T22,5)</f>
        <v>0</v>
      </c>
      <c r="U50" s="60"/>
    </row>
    <row r="51" spans="1:21" x14ac:dyDescent="0.3">
      <c r="A51" s="64">
        <v>43101</v>
      </c>
      <c r="B51" s="34">
        <f t="shared" si="9"/>
        <v>874.62993800199388</v>
      </c>
      <c r="C51" s="34">
        <f t="shared" si="4"/>
        <v>3.1635653688419301</v>
      </c>
      <c r="D51" s="34">
        <f t="shared" si="5"/>
        <v>451.44785739861862</v>
      </c>
      <c r="E51" s="34"/>
      <c r="F51" s="35"/>
      <c r="G51" s="64">
        <v>43101</v>
      </c>
      <c r="H51" s="34">
        <f t="shared" si="6"/>
        <v>-501.01887443705266</v>
      </c>
      <c r="I51" s="34">
        <f t="shared" si="7"/>
        <v>-1.5763645939206137</v>
      </c>
      <c r="J51" s="34">
        <f t="shared" si="8"/>
        <v>-94.547068582369747</v>
      </c>
      <c r="P51" t="s">
        <v>97</v>
      </c>
      <c r="R51" s="57"/>
      <c r="T51" s="57">
        <f>ROUND(T47/T23,5)</f>
        <v>0</v>
      </c>
    </row>
    <row r="52" spans="1:21" x14ac:dyDescent="0.3">
      <c r="A52" s="64">
        <v>43132</v>
      </c>
      <c r="B52" s="34">
        <f t="shared" si="9"/>
        <v>515.73421048505384</v>
      </c>
      <c r="C52" s="34">
        <f t="shared" si="4"/>
        <v>2.0015560707335198</v>
      </c>
      <c r="D52" s="34">
        <f t="shared" si="5"/>
        <v>360.89728358767348</v>
      </c>
      <c r="E52" s="34"/>
      <c r="F52" s="35"/>
      <c r="G52" s="64">
        <v>43132</v>
      </c>
      <c r="H52" s="34">
        <f t="shared" si="6"/>
        <v>-431.666572648905</v>
      </c>
      <c r="I52" s="34">
        <f t="shared" si="7"/>
        <v>-1.3426858141668319</v>
      </c>
      <c r="J52" s="34">
        <f t="shared" si="8"/>
        <v>-70.694987602314498</v>
      </c>
    </row>
    <row r="53" spans="1:21" x14ac:dyDescent="0.3">
      <c r="A53" s="64">
        <v>43160</v>
      </c>
      <c r="B53" s="34">
        <f t="shared" si="9"/>
        <v>217.39323239477773</v>
      </c>
      <c r="C53" s="34">
        <f t="shared" si="4"/>
        <v>1.0554038562589838</v>
      </c>
      <c r="D53" s="34">
        <f t="shared" si="5"/>
        <v>299.39638194653509</v>
      </c>
      <c r="E53" s="34"/>
      <c r="F53" s="35"/>
      <c r="G53" s="64">
        <v>43160</v>
      </c>
      <c r="H53" s="34">
        <f t="shared" si="6"/>
        <v>-368.6826300107785</v>
      </c>
      <c r="I53" s="34">
        <f t="shared" si="7"/>
        <v>-1.1521757138469144</v>
      </c>
      <c r="J53" s="34">
        <f t="shared" si="8"/>
        <v>-64.136118351973437</v>
      </c>
      <c r="P53" t="s">
        <v>74</v>
      </c>
    </row>
    <row r="54" spans="1:21" x14ac:dyDescent="0.3">
      <c r="A54" s="64">
        <v>43191</v>
      </c>
      <c r="B54" s="34">
        <f t="shared" si="9"/>
        <v>28.722135114420212</v>
      </c>
      <c r="C54" s="34">
        <f t="shared" si="4"/>
        <v>0.3543055310185419</v>
      </c>
      <c r="D54" s="34">
        <f t="shared" si="5"/>
        <v>189.02540281137607</v>
      </c>
      <c r="E54" s="34"/>
      <c r="F54" s="35"/>
      <c r="G54" s="64">
        <v>43191</v>
      </c>
      <c r="H54" s="34">
        <f t="shared" si="6"/>
        <v>-328.88612163157069</v>
      </c>
      <c r="I54" s="34">
        <f t="shared" si="7"/>
        <v>-1.0042138752808567</v>
      </c>
      <c r="J54" s="34">
        <f t="shared" si="8"/>
        <v>-40.800722254488697</v>
      </c>
      <c r="P54" t="s">
        <v>65</v>
      </c>
      <c r="R54" s="57"/>
      <c r="T54" s="57">
        <f>T26+T50</f>
        <v>2.0000000000000002E-5</v>
      </c>
    </row>
    <row r="55" spans="1:21" x14ac:dyDescent="0.3">
      <c r="A55" s="64">
        <v>43221</v>
      </c>
      <c r="B55" s="34">
        <f t="shared" si="9"/>
        <v>-71.950451052752754</v>
      </c>
      <c r="C55" s="34">
        <f t="shared" si="4"/>
        <v>-6.2231105633807328E-2</v>
      </c>
      <c r="D55" s="34">
        <f t="shared" si="5"/>
        <v>100.61035506153915</v>
      </c>
      <c r="E55" s="34"/>
      <c r="F55" s="35"/>
      <c r="G55" s="64">
        <v>43221</v>
      </c>
      <c r="H55" s="34">
        <f t="shared" si="6"/>
        <v>-304.49242561875565</v>
      </c>
      <c r="I55" s="34">
        <f t="shared" si="7"/>
        <v>-0.91180621832114073</v>
      </c>
      <c r="J55" s="34">
        <f t="shared" si="8"/>
        <v>-25.305502231136202</v>
      </c>
      <c r="P55" t="s">
        <v>97</v>
      </c>
      <c r="R55" s="57"/>
      <c r="T55" s="57">
        <f>T27+T51</f>
        <v>-1.0000000000000001E-5</v>
      </c>
    </row>
    <row r="56" spans="1:21" x14ac:dyDescent="0.3">
      <c r="A56" s="64">
        <v>43252</v>
      </c>
      <c r="B56" s="34">
        <f t="shared" si="9"/>
        <v>-129.16631479212205</v>
      </c>
      <c r="C56" s="34">
        <f t="shared" si="4"/>
        <v>-0.28952593753308431</v>
      </c>
      <c r="D56" s="34">
        <f t="shared" si="5"/>
        <v>56.926337801836205</v>
      </c>
      <c r="E56" s="34"/>
      <c r="F56" s="35"/>
      <c r="G56" s="64">
        <v>43252</v>
      </c>
      <c r="H56" s="34">
        <f t="shared" si="6"/>
        <v>-287.76108460371529</v>
      </c>
      <c r="I56" s="34">
        <f t="shared" si="7"/>
        <v>-0.85260297461565793</v>
      </c>
      <c r="J56" s="34">
        <f t="shared" si="8"/>
        <v>-17.583943989656014</v>
      </c>
    </row>
    <row r="57" spans="1:21" x14ac:dyDescent="0.3">
      <c r="A57" s="64">
        <v>43282</v>
      </c>
      <c r="B57" s="34">
        <f t="shared" si="9"/>
        <v>-173.28982808643073</v>
      </c>
      <c r="C57" s="34">
        <f t="shared" si="4"/>
        <v>-0.4354132185931085</v>
      </c>
      <c r="D57" s="34">
        <f t="shared" si="5"/>
        <v>43.688100075715568</v>
      </c>
      <c r="E57" s="34"/>
      <c r="F57" s="35"/>
      <c r="G57" s="64">
        <v>43282</v>
      </c>
      <c r="H57" s="34">
        <f t="shared" si="6"/>
        <v>-269.6800232520838</v>
      </c>
      <c r="I57" s="34">
        <f t="shared" si="7"/>
        <v>-0.80248734457035475</v>
      </c>
      <c r="J57" s="34">
        <f t="shared" si="8"/>
        <v>-18.883548696201846</v>
      </c>
      <c r="P57" t="s">
        <v>75</v>
      </c>
      <c r="R57" s="61"/>
      <c r="T57" s="61">
        <f>T58+T59</f>
        <v>1940.5361848700468</v>
      </c>
    </row>
    <row r="58" spans="1:21" x14ac:dyDescent="0.3">
      <c r="A58" s="64">
        <v>43313</v>
      </c>
      <c r="B58" s="34">
        <f t="shared" si="9"/>
        <v>-223.45373282264967</v>
      </c>
      <c r="C58" s="34">
        <f t="shared" si="4"/>
        <v>-0.5711485611349546</v>
      </c>
      <c r="D58" s="34">
        <f t="shared" si="5"/>
        <v>49.592756175083998</v>
      </c>
      <c r="E58" s="34"/>
      <c r="F58" s="35"/>
      <c r="G58" s="64">
        <v>43313</v>
      </c>
      <c r="H58" s="34">
        <f t="shared" si="6"/>
        <v>-254.25780260070076</v>
      </c>
      <c r="I58" s="34">
        <f t="shared" si="7"/>
        <v>-0.75425631275354477</v>
      </c>
      <c r="J58" s="34">
        <f t="shared" si="8"/>
        <v>-16.176476964136597</v>
      </c>
      <c r="P58" t="s">
        <v>65</v>
      </c>
      <c r="R58" s="61"/>
      <c r="T58" s="61">
        <f>T54*T22</f>
        <v>2530.57794437755</v>
      </c>
    </row>
    <row r="59" spans="1:21" x14ac:dyDescent="0.3">
      <c r="A59" s="64">
        <v>43344</v>
      </c>
      <c r="B59" s="34">
        <f t="shared" si="9"/>
        <v>-274.72570957406163</v>
      </c>
      <c r="C59" s="34">
        <f t="shared" si="4"/>
        <v>-0.71717476916304868</v>
      </c>
      <c r="D59" s="34">
        <f t="shared" si="5"/>
        <v>50.554801982248897</v>
      </c>
      <c r="E59" s="34"/>
      <c r="F59" s="35"/>
      <c r="G59" s="64">
        <v>43344</v>
      </c>
      <c r="H59" s="34">
        <f t="shared" si="6"/>
        <v>-230.0111562080227</v>
      </c>
      <c r="I59" s="34">
        <f t="shared" si="7"/>
        <v>-0.69714935862389338</v>
      </c>
      <c r="J59" s="34">
        <f t="shared" si="8"/>
        <v>-24.943795751301973</v>
      </c>
      <c r="P59" t="s">
        <v>97</v>
      </c>
      <c r="R59" s="61"/>
      <c r="T59" s="61">
        <f>T55*T23</f>
        <v>-590.04175950750323</v>
      </c>
    </row>
    <row r="60" spans="1:21" x14ac:dyDescent="0.3">
      <c r="A60" s="66">
        <v>43374</v>
      </c>
      <c r="B60" s="67">
        <f t="shared" si="9"/>
        <v>-436.88510771032873</v>
      </c>
      <c r="C60" s="34">
        <f t="shared" si="4"/>
        <v>-1.0244287101944656</v>
      </c>
      <c r="D60" s="34">
        <f t="shared" si="5"/>
        <v>161.13496942607264</v>
      </c>
      <c r="E60" s="34"/>
      <c r="F60" s="35"/>
      <c r="G60" s="66">
        <v>43374</v>
      </c>
      <c r="H60" s="67">
        <f t="shared" si="6"/>
        <v>-181.97799939996844</v>
      </c>
      <c r="I60" s="34">
        <f t="shared" si="7"/>
        <v>-0.59309598595510193</v>
      </c>
      <c r="J60" s="34">
        <f t="shared" si="8"/>
        <v>-48.626252794009375</v>
      </c>
      <c r="R60" s="61"/>
      <c r="T60" s="61"/>
    </row>
    <row r="61" spans="1:21" x14ac:dyDescent="0.3">
      <c r="A61" s="35"/>
      <c r="B61" s="35"/>
      <c r="C61" s="35"/>
      <c r="D61" s="35"/>
      <c r="E61" s="35"/>
      <c r="F61" s="35"/>
      <c r="G61" s="35"/>
      <c r="H61" s="35"/>
      <c r="I61" s="35"/>
      <c r="J61" s="35"/>
      <c r="P61" t="s">
        <v>76</v>
      </c>
    </row>
    <row r="62" spans="1:21" ht="14.4" customHeight="1" x14ac:dyDescent="0.3">
      <c r="A62" s="35"/>
      <c r="B62" s="35"/>
      <c r="C62" s="35"/>
      <c r="D62" s="34">
        <f>SUM(D49:D60)</f>
        <v>2530.57794437755</v>
      </c>
      <c r="E62" s="35"/>
      <c r="F62" s="35"/>
      <c r="G62" s="35"/>
      <c r="H62" s="35"/>
      <c r="I62" s="35"/>
      <c r="J62" s="34">
        <f>SUM(J49:J60)</f>
        <v>-590.04175950750312</v>
      </c>
      <c r="P62" t="s">
        <v>65</v>
      </c>
      <c r="R62" s="58"/>
      <c r="T62" s="58">
        <f>T58/T9</f>
        <v>2.0487357769877914E-5</v>
      </c>
    </row>
    <row r="63" spans="1:21" x14ac:dyDescent="0.3">
      <c r="P63" t="s">
        <v>97</v>
      </c>
      <c r="R63" s="58"/>
      <c r="T63" s="58">
        <f>T59/T11</f>
        <v>-1.5372380223959811E-5</v>
      </c>
    </row>
    <row r="65" spans="1:21" x14ac:dyDescent="0.3">
      <c r="P65" t="s">
        <v>80</v>
      </c>
    </row>
    <row r="66" spans="1:21" ht="14.4" customHeight="1" x14ac:dyDescent="0.3">
      <c r="P66" s="198" t="s">
        <v>96</v>
      </c>
      <c r="Q66" s="198"/>
      <c r="R66" s="198"/>
      <c r="S66" s="198"/>
      <c r="T66" s="198"/>
      <c r="U66" s="198"/>
    </row>
    <row r="67" spans="1:21" x14ac:dyDescent="0.3">
      <c r="P67" s="198"/>
      <c r="Q67" s="198"/>
      <c r="R67" s="198"/>
      <c r="S67" s="198"/>
      <c r="T67" s="198"/>
      <c r="U67" s="198"/>
    </row>
    <row r="74" spans="1:21" x14ac:dyDescent="0.3">
      <c r="A74" s="35"/>
      <c r="B74" s="35"/>
      <c r="C74" s="35"/>
      <c r="D74" s="35"/>
      <c r="E74" s="35"/>
      <c r="F74" s="35"/>
      <c r="G74" s="35"/>
      <c r="H74" s="35"/>
      <c r="I74" s="35"/>
      <c r="J74" s="35"/>
    </row>
  </sheetData>
  <mergeCells count="32">
    <mergeCell ref="P7:U7"/>
    <mergeCell ref="P66:U67"/>
    <mergeCell ref="A40:D40"/>
    <mergeCell ref="G40:J40"/>
    <mergeCell ref="A43:D43"/>
    <mergeCell ref="G43:J43"/>
    <mergeCell ref="A44:D44"/>
    <mergeCell ref="G44:J44"/>
    <mergeCell ref="A36:D36"/>
    <mergeCell ref="G36:J36"/>
    <mergeCell ref="A38:D38"/>
    <mergeCell ref="G38:J38"/>
    <mergeCell ref="A39:D39"/>
    <mergeCell ref="G39:J39"/>
    <mergeCell ref="A26:B26"/>
    <mergeCell ref="G26:H26"/>
    <mergeCell ref="A27:B27"/>
    <mergeCell ref="G27:H27"/>
    <mergeCell ref="A35:D35"/>
    <mergeCell ref="G35:J35"/>
    <mergeCell ref="A5:D5"/>
    <mergeCell ref="G5:J5"/>
    <mergeCell ref="A24:B24"/>
    <mergeCell ref="G24:H24"/>
    <mergeCell ref="A25:B25"/>
    <mergeCell ref="G25:H25"/>
    <mergeCell ref="A1:D1"/>
    <mergeCell ref="G1:J1"/>
    <mergeCell ref="A2:D2"/>
    <mergeCell ref="G2:J2"/>
    <mergeCell ref="A3:D3"/>
    <mergeCell ref="G3:J3"/>
  </mergeCells>
  <hyperlinks>
    <hyperlink ref="A37" r:id="rId1"/>
    <hyperlink ref="G37" r:id="rId2"/>
  </hyperlinks>
  <printOptions horizontalCentered="1"/>
  <pageMargins left="0.7" right="0.7" top="0.55000000000000004" bottom="0.48" header="0.3" footer="0.3"/>
  <pageSetup scale="88" orientation="portrait" r:id="rId3"/>
  <rowBreaks count="1" manualBreakCount="1">
    <brk id="42" max="8" man="1"/>
  </rowBreaks>
  <colBreaks count="1" manualBreakCount="1">
    <brk id="5" max="59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ACD604AEB00814281E7FB598C0D8A47" ma:contentTypeVersion="76" ma:contentTypeDescription="" ma:contentTypeScope="" ma:versionID="601264b78c22b054163984324390b44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2018-08-17T07:00:00+00:00</OpenedDate>
    <SignificantOrder xmlns="dc463f71-b30c-4ab2-9473-d307f9d35888">false</SignificantOrder>
    <Date1 xmlns="dc463f71-b30c-4ab2-9473-d307f9d35888">2018-08-17T07:00:00+00:00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180701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1B50EF3-EAC2-4D04-B76C-8F93F14E8425}"/>
</file>

<file path=customXml/itemProps2.xml><?xml version="1.0" encoding="utf-8"?>
<ds:datastoreItem xmlns:ds="http://schemas.openxmlformats.org/officeDocument/2006/customXml" ds:itemID="{A5D97D31-98E1-4800-A776-7B1A30E40D25}"/>
</file>

<file path=customXml/itemProps3.xml><?xml version="1.0" encoding="utf-8"?>
<ds:datastoreItem xmlns:ds="http://schemas.openxmlformats.org/officeDocument/2006/customXml" ds:itemID="{718DD9E7-7F56-40A5-BB4E-8CBA6D3D9A30}"/>
</file>

<file path=customXml/itemProps4.xml><?xml version="1.0" encoding="utf-8"?>
<ds:datastoreItem xmlns:ds="http://schemas.openxmlformats.org/officeDocument/2006/customXml" ds:itemID="{733646B2-B566-4626-931E-384C8F41BE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wp6 14 18 Forecast Usage by Sch</vt:lpstr>
      <vt:lpstr>Nat Gas 2017 Rate Calc</vt:lpstr>
      <vt:lpstr>Electric 2015 Rate Calc</vt:lpstr>
      <vt:lpstr>Prior Year Amortization</vt:lpstr>
      <vt:lpstr>Earnings Test and 3% Test</vt:lpstr>
      <vt:lpstr>Conversion Factors</vt:lpstr>
      <vt:lpstr>Bill Impact</vt:lpstr>
      <vt:lpstr>Nat Gas 2015carryover Rate Calc</vt:lpstr>
      <vt:lpstr>'Conversion Factors'!Print_Area</vt:lpstr>
      <vt:lpstr>'Earnings Test and 3% Test'!Print_Area</vt:lpstr>
      <vt:lpstr>'Electric 2015 Rate Calc'!Print_Area</vt:lpstr>
      <vt:lpstr>'Nat Gas 2015carryover Rate Calc'!Print_Area</vt:lpstr>
      <vt:lpstr>'Nat Gas 2017 Rate Calc'!Print_Area</vt:lpstr>
      <vt:lpstr>'Earnings Test and 3% Test'!Print_Titles</vt:lpstr>
      <vt:lpstr>'Electric 2015 Rate Calc'!Print_Titles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2018-08-14T16:14:07Z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0x0101006E56B4D1795A2E4DB2F0B01679ED314A003ACD604AEB00814281E7FB598C0D8A47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